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4698b3afc4b8c8d/01- Proyecto OTEC PerfeccionaT/11- Cursos de capacitaciones PerfeccionaT/Legislación Laboral/"/>
    </mc:Choice>
  </mc:AlternateContent>
  <xr:revisionPtr revIDLastSave="556" documentId="8_{D192970B-E9C5-45A9-B551-82024879612E}" xr6:coauthVersionLast="47" xr6:coauthVersionMax="47" xr10:uidLastSave="{0CA922E9-E8F5-457B-890D-9FFAA86E45ED}"/>
  <bookViews>
    <workbookView xWindow="-120" yWindow="-120" windowWidth="29040" windowHeight="15720" xr2:uid="{C5C75381-971D-45EA-B2C8-7C786557459E}"/>
  </bookViews>
  <sheets>
    <sheet name="Ciclo" sheetId="10" r:id="rId1"/>
    <sheet name="LIQ. TEORICA" sheetId="4" r:id="rId2"/>
    <sheet name="calculo 1" sheetId="5" r:id="rId3"/>
    <sheet name="calculo 2" sheetId="6" r:id="rId4"/>
    <sheet name="calculo 3" sheetId="7" r:id="rId5"/>
    <sheet name="calculo 4" sheetId="9" r:id="rId6"/>
    <sheet name="calculo Proporcional" sheetId="8" r:id="rId7"/>
  </sheets>
  <definedNames>
    <definedName name="_xlnm.Print_Area" localSheetId="1">'LIQ. TEORICA'!$C$3:$I$38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8" l="1"/>
  <c r="D10" i="8" s="1"/>
  <c r="D18" i="8" s="1"/>
  <c r="D44" i="9"/>
  <c r="C30" i="9"/>
  <c r="D21" i="9"/>
  <c r="D24" i="9" s="1"/>
  <c r="I20" i="9"/>
  <c r="G20" i="9"/>
  <c r="G19" i="9"/>
  <c r="D16" i="9"/>
  <c r="D13" i="9"/>
  <c r="E9" i="9"/>
  <c r="D9" i="9"/>
  <c r="D21" i="8"/>
  <c r="G21" i="8" s="1"/>
  <c r="D46" i="8"/>
  <c r="C32" i="8"/>
  <c r="D23" i="8"/>
  <c r="I22" i="8"/>
  <c r="D15" i="8"/>
  <c r="D11" i="8"/>
  <c r="E29" i="5"/>
  <c r="E28" i="5"/>
  <c r="E27" i="5"/>
  <c r="D46" i="7"/>
  <c r="I34" i="7"/>
  <c r="I35" i="7" s="1"/>
  <c r="I38" i="7" s="1"/>
  <c r="I39" i="7" s="1"/>
  <c r="J37" i="7" s="1"/>
  <c r="C32" i="7"/>
  <c r="D23" i="7"/>
  <c r="D26" i="7" s="1"/>
  <c r="D18" i="7"/>
  <c r="D15" i="7"/>
  <c r="E11" i="7"/>
  <c r="D11" i="7"/>
  <c r="J36" i="6"/>
  <c r="I38" i="6"/>
  <c r="I37" i="6"/>
  <c r="I34" i="6"/>
  <c r="I33" i="6"/>
  <c r="D45" i="6"/>
  <c r="C31" i="6"/>
  <c r="D22" i="6"/>
  <c r="D25" i="6" s="1"/>
  <c r="D17" i="6"/>
  <c r="D14" i="6"/>
  <c r="E10" i="6"/>
  <c r="D18" i="6" s="1"/>
  <c r="D10" i="6"/>
  <c r="D44" i="5"/>
  <c r="E44" i="5" s="1"/>
  <c r="I20" i="5"/>
  <c r="G20" i="5"/>
  <c r="G19" i="5"/>
  <c r="D21" i="5"/>
  <c r="D24" i="5" s="1"/>
  <c r="C30" i="5"/>
  <c r="D16" i="5"/>
  <c r="D13" i="5"/>
  <c r="E9" i="5"/>
  <c r="D9" i="5"/>
  <c r="O35" i="4"/>
  <c r="N35" i="4"/>
  <c r="U29" i="4"/>
  <c r="U30" i="4" s="1"/>
  <c r="D22" i="8" l="1"/>
  <c r="G22" i="8" s="1"/>
  <c r="D17" i="9"/>
  <c r="E29" i="9" s="1"/>
  <c r="D26" i="8"/>
  <c r="E11" i="8"/>
  <c r="D19" i="8" s="1"/>
  <c r="C37" i="8" s="1"/>
  <c r="D19" i="7"/>
  <c r="D33" i="7" s="1"/>
  <c r="D32" i="6"/>
  <c r="D31" i="6"/>
  <c r="D33" i="6" s="1"/>
  <c r="C36" i="6"/>
  <c r="E45" i="6"/>
  <c r="D17" i="5"/>
  <c r="E44" i="9" l="1"/>
  <c r="D31" i="9"/>
  <c r="D30" i="9"/>
  <c r="C35" i="9"/>
  <c r="E27" i="9"/>
  <c r="E28" i="9"/>
  <c r="D32" i="9"/>
  <c r="E46" i="8"/>
  <c r="D32" i="8"/>
  <c r="E29" i="8"/>
  <c r="E30" i="8"/>
  <c r="D33" i="8"/>
  <c r="E31" i="8"/>
  <c r="E46" i="7"/>
  <c r="C37" i="7"/>
  <c r="D32" i="7"/>
  <c r="D34" i="7" s="1"/>
  <c r="C38" i="7" s="1"/>
  <c r="D48" i="6"/>
  <c r="D50" i="6" s="1"/>
  <c r="D52" i="6" s="1"/>
  <c r="C37" i="6"/>
  <c r="C38" i="6" s="1"/>
  <c r="D31" i="5"/>
  <c r="D30" i="5"/>
  <c r="C35" i="5"/>
  <c r="D47" i="9" l="1"/>
  <c r="D49" i="9" s="1"/>
  <c r="D51" i="9" s="1"/>
  <c r="C36" i="9"/>
  <c r="C37" i="9" s="1"/>
  <c r="D34" i="8"/>
  <c r="C39" i="7"/>
  <c r="C40" i="7" s="1"/>
  <c r="D40" i="7" s="1"/>
  <c r="D49" i="7" s="1"/>
  <c r="D51" i="7" s="1"/>
  <c r="D53" i="7" s="1"/>
  <c r="D32" i="5"/>
  <c r="D47" i="5" s="1"/>
  <c r="C38" i="8" l="1"/>
  <c r="C39" i="8" s="1"/>
  <c r="D49" i="8"/>
  <c r="D51" i="8" s="1"/>
  <c r="D53" i="8" s="1"/>
  <c r="D49" i="5"/>
  <c r="D51" i="5" s="1"/>
  <c r="C36" i="5"/>
  <c r="C3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eduardo jaña lagos</author>
  </authors>
  <commentList>
    <comment ref="E20" authorId="0" shapeId="0" xr:uid="{5A84D762-DFC8-471B-95B6-6BE315F95BA1}">
      <text>
        <r>
          <rPr>
            <b/>
            <sz val="9"/>
            <color indexed="81"/>
            <rFont val="Tahoma"/>
            <family val="2"/>
          </rPr>
          <t>Solo se activa si tiene cargas ( hijos) previa autorizacion por la CCAF.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" authorId="0" shapeId="0" xr:uid="{D20B8CD2-3811-4323-AA22-54AFAE46057C}">
      <text>
        <r>
          <rPr>
            <b/>
            <sz val="9"/>
            <color indexed="81"/>
            <rFont val="Tahoma"/>
            <family val="2"/>
          </rPr>
          <t>Razonabilidad del evento</t>
        </r>
      </text>
    </comment>
  </commentList>
</comments>
</file>

<file path=xl/sharedStrings.xml><?xml version="1.0" encoding="utf-8"?>
<sst xmlns="http://schemas.openxmlformats.org/spreadsheetml/2006/main" count="262" uniqueCount="95">
  <si>
    <t>Sueldo Base</t>
  </si>
  <si>
    <t>LIQUIDACION DE SUELDOS MES XXXX</t>
  </si>
  <si>
    <r>
      <t xml:space="preserve">DETALLE DEL TRABAJADOR // INFORMACION PERSONAL // INFORMACION CONTRACTUAL // </t>
    </r>
    <r>
      <rPr>
        <b/>
        <sz val="11"/>
        <color rgb="FFFF0000"/>
        <rFont val="Aptos Narrow"/>
        <family val="2"/>
        <scheme val="minor"/>
      </rPr>
      <t>DIAS LABORADOS</t>
    </r>
  </si>
  <si>
    <t>Tope dias</t>
  </si>
  <si>
    <t>Proporcional a los dias trabajados</t>
  </si>
  <si>
    <t>Jornada laboral ( horas semanales)</t>
  </si>
  <si>
    <t>lun - vier</t>
  </si>
  <si>
    <t>Lun - sab</t>
  </si>
  <si>
    <t>HABERES</t>
  </si>
  <si>
    <t xml:space="preserve"> -Haberes Imponibles</t>
  </si>
  <si>
    <t>Gratificacion</t>
  </si>
  <si>
    <t>Comisiones</t>
  </si>
  <si>
    <t>Horas Extras</t>
  </si>
  <si>
    <t>Bonos ( Varios)</t>
  </si>
  <si>
    <t>Movilizacion</t>
  </si>
  <si>
    <t>Colacion</t>
  </si>
  <si>
    <t>Asig Familiar</t>
  </si>
  <si>
    <t>Desgaste de Herramientas</t>
  </si>
  <si>
    <t>Perdida de caja</t>
  </si>
  <si>
    <t>Viatico</t>
  </si>
  <si>
    <t>Fondo por rendir</t>
  </si>
  <si>
    <t>Justificar con Boletas - Facturas - vales</t>
  </si>
  <si>
    <t>Enero</t>
  </si>
  <si>
    <t>Abril</t>
  </si>
  <si>
    <t>Junio</t>
  </si>
  <si>
    <t>Ingrese</t>
  </si>
  <si>
    <t>Tramistes</t>
  </si>
  <si>
    <t>CCAF</t>
  </si>
  <si>
    <t>Autorizacion</t>
  </si>
  <si>
    <t>Liquidar</t>
  </si>
  <si>
    <t>Pago del mes</t>
  </si>
  <si>
    <t>Retroactivo ( Ene - Mayo)</t>
  </si>
  <si>
    <t>Total a Pagar</t>
  </si>
  <si>
    <t>Asignacion Familiar</t>
  </si>
  <si>
    <t>DESCUENTOS</t>
  </si>
  <si>
    <t>COTIZACIONES PREVISIONALES</t>
  </si>
  <si>
    <t xml:space="preserve"> -afp</t>
  </si>
  <si>
    <t xml:space="preserve"> -afc</t>
  </si>
  <si>
    <t xml:space="preserve"> - Sis</t>
  </si>
  <si>
    <t xml:space="preserve"> - salud ( fonasa - Isapre)</t>
  </si>
  <si>
    <t>DESCUENTOS VOLUNTARIOS</t>
  </si>
  <si>
    <t xml:space="preserve"> -ahorro vivienda, prestamos , cuota sindical)</t>
  </si>
  <si>
    <t>ALCANCE LIQUIDO</t>
  </si>
  <si>
    <t>TOTAL HABERES -TOTAL DESCUENTOS</t>
  </si>
  <si>
    <t>ANTICIPO</t>
  </si>
  <si>
    <t>QUINCENA</t>
  </si>
  <si>
    <t>SUELDO LIQUIDO</t>
  </si>
  <si>
    <t>ALCANCE LIQUIDO - ANTICIPO</t>
  </si>
  <si>
    <t>DESCUENTOS DEL IMPUESTO</t>
  </si>
  <si>
    <t xml:space="preserve"> - iut ( impuesto a los trabajadores)</t>
  </si>
  <si>
    <t>SUELDO BASE</t>
  </si>
  <si>
    <t>DIAS T.</t>
  </si>
  <si>
    <t>GRATIFICACION</t>
  </si>
  <si>
    <t>25% TOPE 4,75 IMM</t>
  </si>
  <si>
    <t>30% del reparto de utilidades liquidas (anticipo)</t>
  </si>
  <si>
    <t>COMISION</t>
  </si>
  <si>
    <t>H. EXTRAS</t>
  </si>
  <si>
    <t>TOTAL HABERES IMPONIBLES</t>
  </si>
  <si>
    <t>JORNADA</t>
  </si>
  <si>
    <t>45 HR. SEMANALES</t>
  </si>
  <si>
    <t>AFP capital</t>
  </si>
  <si>
    <t>SIS</t>
  </si>
  <si>
    <t>TIPO DE CONTRATO</t>
  </si>
  <si>
    <t>INDEFNIDO</t>
  </si>
  <si>
    <t>Salud</t>
  </si>
  <si>
    <t>IMPUESTO UNICO</t>
  </si>
  <si>
    <t>Base tributable</t>
  </si>
  <si>
    <t>Imponibles</t>
  </si>
  <si>
    <t xml:space="preserve"> - dcto prev.</t>
  </si>
  <si>
    <t>AFC</t>
  </si>
  <si>
    <t>DESCUENTOS PREVISIONALES</t>
  </si>
  <si>
    <t>TOTAL DESCUENTOS</t>
  </si>
  <si>
    <t>SUELDO LIQUIDO O POR PAGAR</t>
  </si>
  <si>
    <t>TOTAL HABERES NO IMPONIBLES</t>
  </si>
  <si>
    <t>COLACION</t>
  </si>
  <si>
    <t>MOVILIZACION</t>
  </si>
  <si>
    <t>2 hijos</t>
  </si>
  <si>
    <t>CARGAS</t>
  </si>
  <si>
    <t>CARGAS FAMILIARES</t>
  </si>
  <si>
    <t>OTROS DESCUENTOS</t>
  </si>
  <si>
    <t>Cuota Sindical</t>
  </si>
  <si>
    <t>Dcto prestamo CCAF</t>
  </si>
  <si>
    <t>Ahorro - seguro CCAS</t>
  </si>
  <si>
    <t>EDAD</t>
  </si>
  <si>
    <t>65 AÑOS</t>
  </si>
  <si>
    <t>VARIABLE DE JUBILACION</t>
  </si>
  <si>
    <t>1 - PENSIONADO NO ACTIVO</t>
  </si>
  <si>
    <t>2- PENSIONADO ACTIVO</t>
  </si>
  <si>
    <t>NO SE LE DESCUENTA AFP</t>
  </si>
  <si>
    <t>SI SE DESCUENTA</t>
  </si>
  <si>
    <t>30 AÑOS</t>
  </si>
  <si>
    <t>LIQUIDO</t>
  </si>
  <si>
    <t>f. ingreso</t>
  </si>
  <si>
    <t>????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</si>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</sst>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sz val="11"/>
      <color theme="5" tint="-0.499984740745262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5" tint="-0.499984740745262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42" fontId="0" fillId="0" borderId="0" xfId="1" applyFont="1"/>
    <xf numFmtId="42" fontId="0" fillId="0" borderId="0" xfId="0" applyNumberFormat="1"/>
    <xf numFmtId="0" fontId="0" fillId="0" borderId="6" xfId="0" applyBorder="1"/>
    <xf numFmtId="0" fontId="0" fillId="0" borderId="7" xfId="0" applyBorder="1"/>
    <xf numFmtId="42" fontId="0" fillId="0" borderId="0" xfId="1" applyFont="1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9" fontId="0" fillId="0" borderId="0" xfId="2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6" fillId="0" borderId="6" xfId="0" applyFont="1" applyBorder="1"/>
    <xf numFmtId="0" fontId="2" fillId="0" borderId="16" xfId="0" applyFont="1" applyBorder="1"/>
    <xf numFmtId="0" fontId="9" fillId="0" borderId="0" xfId="0" applyFont="1"/>
    <xf numFmtId="0" fontId="10" fillId="0" borderId="0" xfId="0" applyFont="1"/>
    <xf numFmtId="0" fontId="4" fillId="0" borderId="5" xfId="0" applyFont="1" applyBorder="1"/>
    <xf numFmtId="0" fontId="10" fillId="3" borderId="0" xfId="0" applyFont="1" applyFill="1"/>
    <xf numFmtId="42" fontId="4" fillId="0" borderId="0" xfId="1" applyFont="1"/>
    <xf numFmtId="0" fontId="4" fillId="0" borderId="17" xfId="0" applyFont="1" applyBorder="1"/>
    <xf numFmtId="0" fontId="4" fillId="4" borderId="17" xfId="0" applyFont="1" applyFill="1" applyBorder="1"/>
    <xf numFmtId="42" fontId="4" fillId="4" borderId="17" xfId="1" applyFont="1" applyFill="1" applyBorder="1"/>
    <xf numFmtId="0" fontId="4" fillId="0" borderId="8" xfId="0" applyFont="1" applyBorder="1"/>
    <xf numFmtId="0" fontId="4" fillId="0" borderId="6" xfId="0" applyFont="1" applyBorder="1"/>
    <xf numFmtId="0" fontId="9" fillId="0" borderId="6" xfId="0" applyFont="1" applyBorder="1"/>
    <xf numFmtId="9" fontId="0" fillId="0" borderId="0" xfId="0" applyNumberFormat="1"/>
    <xf numFmtId="9" fontId="4" fillId="0" borderId="0" xfId="0" applyNumberFormat="1" applyFont="1"/>
    <xf numFmtId="0" fontId="11" fillId="0" borderId="0" xfId="0" applyFont="1"/>
    <xf numFmtId="0" fontId="0" fillId="4" borderId="16" xfId="0" applyFill="1" applyBorder="1"/>
    <xf numFmtId="0" fontId="0" fillId="5" borderId="0" xfId="0" applyFill="1"/>
    <xf numFmtId="42" fontId="0" fillId="5" borderId="0" xfId="1" applyFont="1" applyFill="1"/>
    <xf numFmtId="0" fontId="0" fillId="0" borderId="22" xfId="0" applyBorder="1"/>
    <xf numFmtId="0" fontId="4" fillId="0" borderId="22" xfId="0" applyFont="1" applyBorder="1"/>
    <xf numFmtId="0" fontId="0" fillId="4" borderId="16" xfId="0" applyFill="1" applyBorder="1" applyAlignment="1">
      <alignment horizontal="right"/>
    </xf>
    <xf numFmtId="164" fontId="0" fillId="0" borderId="0" xfId="0" applyNumberFormat="1"/>
    <xf numFmtId="42" fontId="0" fillId="6" borderId="0" xfId="0" applyNumberFormat="1" applyFill="1"/>
    <xf numFmtId="42" fontId="4" fillId="0" borderId="22" xfId="0" applyNumberFormat="1" applyFont="1" applyBorder="1"/>
    <xf numFmtId="10" fontId="0" fillId="0" borderId="0" xfId="0" applyNumberFormat="1"/>
    <xf numFmtId="42" fontId="4" fillId="0" borderId="0" xfId="0" applyNumberFormat="1" applyFont="1"/>
    <xf numFmtId="10" fontId="4" fillId="0" borderId="0" xfId="0" applyNumberFormat="1" applyFont="1"/>
    <xf numFmtId="42" fontId="4" fillId="0" borderId="17" xfId="0" applyNumberFormat="1" applyFont="1" applyBorder="1"/>
    <xf numFmtId="42" fontId="4" fillId="6" borderId="16" xfId="1" applyFont="1" applyFill="1" applyBorder="1"/>
    <xf numFmtId="0" fontId="4" fillId="4" borderId="16" xfId="0" applyFont="1" applyFill="1" applyBorder="1" applyAlignment="1">
      <alignment horizontal="right"/>
    </xf>
    <xf numFmtId="10" fontId="4" fillId="6" borderId="0" xfId="0" applyNumberFormat="1" applyFont="1" applyFill="1"/>
    <xf numFmtId="42" fontId="4" fillId="4" borderId="0" xfId="1" applyFont="1" applyFill="1" applyBorder="1" applyAlignment="1">
      <alignment horizontal="right"/>
    </xf>
    <xf numFmtId="0" fontId="4" fillId="6" borderId="17" xfId="0" applyFont="1" applyFill="1" applyBorder="1"/>
    <xf numFmtId="42" fontId="4" fillId="6" borderId="17" xfId="0" applyNumberFormat="1" applyFont="1" applyFill="1" applyBorder="1"/>
    <xf numFmtId="42" fontId="3" fillId="6" borderId="0" xfId="1" applyFont="1" applyFill="1"/>
    <xf numFmtId="14" fontId="0" fillId="4" borderId="16" xfId="0" applyNumberFormat="1" applyFill="1" applyBorder="1"/>
    <xf numFmtId="0" fontId="4" fillId="6" borderId="0" xfId="0" applyFont="1" applyFill="1"/>
    <xf numFmtId="0" fontId="0" fillId="6" borderId="0" xfId="0" applyFill="1"/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13A2023-7D5F-4A8E-8DBE-E6E2263EB2DD}" type="doc">
      <dgm:prSet loTypeId="urn:microsoft.com/office/officeart/2005/8/layout/cycle1" loCatId="cycle" qsTypeId="urn:microsoft.com/office/officeart/2005/8/quickstyle/3d3" qsCatId="3D" csTypeId="urn:microsoft.com/office/officeart/2005/8/colors/accent1_2" csCatId="accent1" phldr="1"/>
      <dgm:spPr/>
      <dgm:t>
        <a:bodyPr/>
        <a:lstStyle/>
        <a:p>
          <a:endParaRPr lang="es-CL"/>
        </a:p>
      </dgm:t>
    </dgm:pt>
    <dgm:pt modelId="{8625546B-5E6F-4463-A5E4-FF58993C634F}">
      <dgm:prSet phldrT="[Texto]"/>
      <dgm:spPr/>
      <dgm:t>
        <a:bodyPr/>
        <a:lstStyle/>
        <a:p>
          <a:r>
            <a:rPr lang="es-CL"/>
            <a:t>Contratacion</a:t>
          </a:r>
        </a:p>
      </dgm:t>
    </dgm:pt>
    <dgm:pt modelId="{4C33C168-49A0-48B7-B4F4-9BAB1A407BD0}" type="parTrans" cxnId="{E54B4C69-3892-45ED-844A-0F5557B89978}">
      <dgm:prSet/>
      <dgm:spPr/>
      <dgm:t>
        <a:bodyPr/>
        <a:lstStyle/>
        <a:p>
          <a:endParaRPr lang="es-CL"/>
        </a:p>
      </dgm:t>
    </dgm:pt>
    <dgm:pt modelId="{117C3572-CBAA-44FA-A5ED-4EA0B8862FE6}" type="sibTrans" cxnId="{E54B4C69-3892-45ED-844A-0F5557B89978}">
      <dgm:prSet/>
      <dgm:spPr/>
      <dgm:t>
        <a:bodyPr/>
        <a:lstStyle/>
        <a:p>
          <a:endParaRPr lang="es-CL"/>
        </a:p>
      </dgm:t>
    </dgm:pt>
    <dgm:pt modelId="{A8C833DD-9E3E-4500-A7D2-D44907B84B08}">
      <dgm:prSet phldrT="[Texto]"/>
      <dgm:spPr/>
      <dgm:t>
        <a:bodyPr/>
        <a:lstStyle/>
        <a:p>
          <a:r>
            <a:rPr lang="es-CL"/>
            <a:t>Ingreso al sistema</a:t>
          </a:r>
        </a:p>
      </dgm:t>
    </dgm:pt>
    <dgm:pt modelId="{7B2FE9E5-9081-45AF-8EF4-7BDD1E553487}" type="parTrans" cxnId="{AC8A4121-2CDD-44F0-9CC4-D521C10EBE6D}">
      <dgm:prSet/>
      <dgm:spPr/>
      <dgm:t>
        <a:bodyPr/>
        <a:lstStyle/>
        <a:p>
          <a:endParaRPr lang="es-CL"/>
        </a:p>
      </dgm:t>
    </dgm:pt>
    <dgm:pt modelId="{F8913A54-EAE1-4C2A-92ED-54F9A5CA50C4}" type="sibTrans" cxnId="{AC8A4121-2CDD-44F0-9CC4-D521C10EBE6D}">
      <dgm:prSet/>
      <dgm:spPr/>
      <dgm:t>
        <a:bodyPr/>
        <a:lstStyle/>
        <a:p>
          <a:endParaRPr lang="es-CL"/>
        </a:p>
      </dgm:t>
    </dgm:pt>
    <dgm:pt modelId="{6C2351E9-261E-4B6E-93B4-D7299BCA3643}">
      <dgm:prSet phldrT="[Texto]"/>
      <dgm:spPr/>
      <dgm:t>
        <a:bodyPr/>
        <a:lstStyle/>
        <a:p>
          <a:r>
            <a:rPr lang="es-CL"/>
            <a:t>Calculo de sueldos</a:t>
          </a:r>
        </a:p>
      </dgm:t>
    </dgm:pt>
    <dgm:pt modelId="{D2F601C2-2B2B-4B74-915D-185EDAF0CC57}" type="parTrans" cxnId="{843D926D-4689-4959-9221-D833AEDD5EA8}">
      <dgm:prSet/>
      <dgm:spPr/>
      <dgm:t>
        <a:bodyPr/>
        <a:lstStyle/>
        <a:p>
          <a:endParaRPr lang="es-CL"/>
        </a:p>
      </dgm:t>
    </dgm:pt>
    <dgm:pt modelId="{34282E2F-80AE-47A6-8700-D5A74270522C}" type="sibTrans" cxnId="{843D926D-4689-4959-9221-D833AEDD5EA8}">
      <dgm:prSet/>
      <dgm:spPr/>
      <dgm:t>
        <a:bodyPr/>
        <a:lstStyle/>
        <a:p>
          <a:endParaRPr lang="es-CL"/>
        </a:p>
      </dgm:t>
    </dgm:pt>
    <dgm:pt modelId="{47CCCC19-73ED-4A5D-A5FF-76FCC163D89D}">
      <dgm:prSet phldrT="[Texto]"/>
      <dgm:spPr/>
      <dgm:t>
        <a:bodyPr/>
        <a:lstStyle/>
        <a:p>
          <a:r>
            <a:rPr lang="es-CL"/>
            <a:t>Libro de remuneraciones</a:t>
          </a:r>
        </a:p>
      </dgm:t>
    </dgm:pt>
    <dgm:pt modelId="{4297FFAA-8648-48D9-A509-C482005E5FC7}" type="parTrans" cxnId="{DE274BAF-028C-48E9-B53B-D1D3E8B3596F}">
      <dgm:prSet/>
      <dgm:spPr/>
      <dgm:t>
        <a:bodyPr/>
        <a:lstStyle/>
        <a:p>
          <a:endParaRPr lang="es-CL"/>
        </a:p>
      </dgm:t>
    </dgm:pt>
    <dgm:pt modelId="{530430EA-3383-4EE8-8B22-9B1BA5FCEF5B}" type="sibTrans" cxnId="{DE274BAF-028C-48E9-B53B-D1D3E8B3596F}">
      <dgm:prSet/>
      <dgm:spPr/>
      <dgm:t>
        <a:bodyPr/>
        <a:lstStyle/>
        <a:p>
          <a:endParaRPr lang="es-CL"/>
        </a:p>
      </dgm:t>
    </dgm:pt>
    <dgm:pt modelId="{9E8C0DF5-BE16-4419-8DFA-EDA04C2C648E}">
      <dgm:prSet phldrT="[Texto]"/>
      <dgm:spPr/>
      <dgm:t>
        <a:bodyPr/>
        <a:lstStyle/>
        <a:p>
          <a:r>
            <a:rPr lang="es-CL"/>
            <a:t>Centralizacion</a:t>
          </a:r>
        </a:p>
      </dgm:t>
    </dgm:pt>
    <dgm:pt modelId="{1DA064CF-73A3-4AB5-90CE-17935F9838F5}" type="parTrans" cxnId="{566FC957-4677-43C0-AF50-1A85DFD429F9}">
      <dgm:prSet/>
      <dgm:spPr/>
      <dgm:t>
        <a:bodyPr/>
        <a:lstStyle/>
        <a:p>
          <a:endParaRPr lang="es-CL"/>
        </a:p>
      </dgm:t>
    </dgm:pt>
    <dgm:pt modelId="{04CAB252-2E69-4034-B59A-C1A90B2F2F4B}" type="sibTrans" cxnId="{566FC957-4677-43C0-AF50-1A85DFD429F9}">
      <dgm:prSet/>
      <dgm:spPr/>
      <dgm:t>
        <a:bodyPr/>
        <a:lstStyle/>
        <a:p>
          <a:endParaRPr lang="es-CL"/>
        </a:p>
      </dgm:t>
    </dgm:pt>
    <dgm:pt modelId="{7D35F36C-BE4E-45AB-BF96-57F0B2CEA38B}" type="pres">
      <dgm:prSet presAssocID="{C13A2023-7D5F-4A8E-8DBE-E6E2263EB2DD}" presName="cycle" presStyleCnt="0">
        <dgm:presLayoutVars>
          <dgm:dir/>
          <dgm:resizeHandles val="exact"/>
        </dgm:presLayoutVars>
      </dgm:prSet>
      <dgm:spPr/>
    </dgm:pt>
    <dgm:pt modelId="{1AF14FDA-C050-4F5D-901B-8150573AFBC8}" type="pres">
      <dgm:prSet presAssocID="{8625546B-5E6F-4463-A5E4-FF58993C634F}" presName="dummy" presStyleCnt="0"/>
      <dgm:spPr/>
    </dgm:pt>
    <dgm:pt modelId="{7A7DF5C3-6826-47B3-8557-4ADA8ADFB736}" type="pres">
      <dgm:prSet presAssocID="{8625546B-5E6F-4463-A5E4-FF58993C634F}" presName="node" presStyleLbl="revTx" presStyleIdx="0" presStyleCnt="5">
        <dgm:presLayoutVars>
          <dgm:bulletEnabled val="1"/>
        </dgm:presLayoutVars>
      </dgm:prSet>
      <dgm:spPr/>
    </dgm:pt>
    <dgm:pt modelId="{4EA74ED2-984A-4430-AC98-D397C593B147}" type="pres">
      <dgm:prSet presAssocID="{117C3572-CBAA-44FA-A5ED-4EA0B8862FE6}" presName="sibTrans" presStyleLbl="node1" presStyleIdx="0" presStyleCnt="5"/>
      <dgm:spPr/>
    </dgm:pt>
    <dgm:pt modelId="{13E27741-5E70-4544-90F4-9B60AA3781F5}" type="pres">
      <dgm:prSet presAssocID="{A8C833DD-9E3E-4500-A7D2-D44907B84B08}" presName="dummy" presStyleCnt="0"/>
      <dgm:spPr/>
    </dgm:pt>
    <dgm:pt modelId="{E1EE26E9-8CD2-4387-9033-42D91922803C}" type="pres">
      <dgm:prSet presAssocID="{A8C833DD-9E3E-4500-A7D2-D44907B84B08}" presName="node" presStyleLbl="revTx" presStyleIdx="1" presStyleCnt="5">
        <dgm:presLayoutVars>
          <dgm:bulletEnabled val="1"/>
        </dgm:presLayoutVars>
      </dgm:prSet>
      <dgm:spPr/>
    </dgm:pt>
    <dgm:pt modelId="{2C575562-7098-461A-BDE6-F112F2BC4A38}" type="pres">
      <dgm:prSet presAssocID="{F8913A54-EAE1-4C2A-92ED-54F9A5CA50C4}" presName="sibTrans" presStyleLbl="node1" presStyleIdx="1" presStyleCnt="5"/>
      <dgm:spPr/>
    </dgm:pt>
    <dgm:pt modelId="{9995DB2A-681B-402B-BE5B-EC0BDB443C53}" type="pres">
      <dgm:prSet presAssocID="{6C2351E9-261E-4B6E-93B4-D7299BCA3643}" presName="dummy" presStyleCnt="0"/>
      <dgm:spPr/>
    </dgm:pt>
    <dgm:pt modelId="{579F6EE8-F987-4328-9DAB-1B8FFA3BF0D7}" type="pres">
      <dgm:prSet presAssocID="{6C2351E9-261E-4B6E-93B4-D7299BCA3643}" presName="node" presStyleLbl="revTx" presStyleIdx="2" presStyleCnt="5">
        <dgm:presLayoutVars>
          <dgm:bulletEnabled val="1"/>
        </dgm:presLayoutVars>
      </dgm:prSet>
      <dgm:spPr/>
    </dgm:pt>
    <dgm:pt modelId="{BBB6B393-6331-4266-802A-2EB7CDEEF44C}" type="pres">
      <dgm:prSet presAssocID="{34282E2F-80AE-47A6-8700-D5A74270522C}" presName="sibTrans" presStyleLbl="node1" presStyleIdx="2" presStyleCnt="5"/>
      <dgm:spPr/>
    </dgm:pt>
    <dgm:pt modelId="{1D793392-3C1E-4044-922C-6D3E6217D9C0}" type="pres">
      <dgm:prSet presAssocID="{47CCCC19-73ED-4A5D-A5FF-76FCC163D89D}" presName="dummy" presStyleCnt="0"/>
      <dgm:spPr/>
    </dgm:pt>
    <dgm:pt modelId="{D3B0DA75-EFDB-41AD-8AE6-F3B4AED9CF2C}" type="pres">
      <dgm:prSet presAssocID="{47CCCC19-73ED-4A5D-A5FF-76FCC163D89D}" presName="node" presStyleLbl="revTx" presStyleIdx="3" presStyleCnt="5">
        <dgm:presLayoutVars>
          <dgm:bulletEnabled val="1"/>
        </dgm:presLayoutVars>
      </dgm:prSet>
      <dgm:spPr/>
    </dgm:pt>
    <dgm:pt modelId="{8D6B2D52-2704-47C0-9B7B-8A01212B0A77}" type="pres">
      <dgm:prSet presAssocID="{530430EA-3383-4EE8-8B22-9B1BA5FCEF5B}" presName="sibTrans" presStyleLbl="node1" presStyleIdx="3" presStyleCnt="5"/>
      <dgm:spPr/>
    </dgm:pt>
    <dgm:pt modelId="{7F48C8C2-8722-422F-A0D7-F99706662A3B}" type="pres">
      <dgm:prSet presAssocID="{9E8C0DF5-BE16-4419-8DFA-EDA04C2C648E}" presName="dummy" presStyleCnt="0"/>
      <dgm:spPr/>
    </dgm:pt>
    <dgm:pt modelId="{25F4AAC7-26D9-4C79-A8AE-E336FF637BE4}" type="pres">
      <dgm:prSet presAssocID="{9E8C0DF5-BE16-4419-8DFA-EDA04C2C648E}" presName="node" presStyleLbl="revTx" presStyleIdx="4" presStyleCnt="5">
        <dgm:presLayoutVars>
          <dgm:bulletEnabled val="1"/>
        </dgm:presLayoutVars>
      </dgm:prSet>
      <dgm:spPr/>
    </dgm:pt>
    <dgm:pt modelId="{6489E1B5-A73E-4E9E-A67F-3DF3AD05886F}" type="pres">
      <dgm:prSet presAssocID="{04CAB252-2E69-4034-B59A-C1A90B2F2F4B}" presName="sibTrans" presStyleLbl="node1" presStyleIdx="4" presStyleCnt="5"/>
      <dgm:spPr/>
    </dgm:pt>
  </dgm:ptLst>
  <dgm:cxnLst>
    <dgm:cxn modelId="{AC8A4121-2CDD-44F0-9CC4-D521C10EBE6D}" srcId="{C13A2023-7D5F-4A8E-8DBE-E6E2263EB2DD}" destId="{A8C833DD-9E3E-4500-A7D2-D44907B84B08}" srcOrd="1" destOrd="0" parTransId="{7B2FE9E5-9081-45AF-8EF4-7BDD1E553487}" sibTransId="{F8913A54-EAE1-4C2A-92ED-54F9A5CA50C4}"/>
    <dgm:cxn modelId="{E54B4C69-3892-45ED-844A-0F5557B89978}" srcId="{C13A2023-7D5F-4A8E-8DBE-E6E2263EB2DD}" destId="{8625546B-5E6F-4463-A5E4-FF58993C634F}" srcOrd="0" destOrd="0" parTransId="{4C33C168-49A0-48B7-B4F4-9BAB1A407BD0}" sibTransId="{117C3572-CBAA-44FA-A5ED-4EA0B8862FE6}"/>
    <dgm:cxn modelId="{843D926D-4689-4959-9221-D833AEDD5EA8}" srcId="{C13A2023-7D5F-4A8E-8DBE-E6E2263EB2DD}" destId="{6C2351E9-261E-4B6E-93B4-D7299BCA3643}" srcOrd="2" destOrd="0" parTransId="{D2F601C2-2B2B-4B74-915D-185EDAF0CC57}" sibTransId="{34282E2F-80AE-47A6-8700-D5A74270522C}"/>
    <dgm:cxn modelId="{83FEC64E-AF15-4405-8B73-198C2FE1A08C}" type="presOf" srcId="{F8913A54-EAE1-4C2A-92ED-54F9A5CA50C4}" destId="{2C575562-7098-461A-BDE6-F112F2BC4A38}" srcOrd="0" destOrd="0" presId="urn:microsoft.com/office/officeart/2005/8/layout/cycle1"/>
    <dgm:cxn modelId="{F69E2954-2776-4AFE-91E5-781F35DEF74D}" type="presOf" srcId="{A8C833DD-9E3E-4500-A7D2-D44907B84B08}" destId="{E1EE26E9-8CD2-4387-9033-42D91922803C}" srcOrd="0" destOrd="0" presId="urn:microsoft.com/office/officeart/2005/8/layout/cycle1"/>
    <dgm:cxn modelId="{C8CC7076-3324-4E9F-9D7D-A9055B16F1D3}" type="presOf" srcId="{9E8C0DF5-BE16-4419-8DFA-EDA04C2C648E}" destId="{25F4AAC7-26D9-4C79-A8AE-E336FF637BE4}" srcOrd="0" destOrd="0" presId="urn:microsoft.com/office/officeart/2005/8/layout/cycle1"/>
    <dgm:cxn modelId="{566FC957-4677-43C0-AF50-1A85DFD429F9}" srcId="{C13A2023-7D5F-4A8E-8DBE-E6E2263EB2DD}" destId="{9E8C0DF5-BE16-4419-8DFA-EDA04C2C648E}" srcOrd="4" destOrd="0" parTransId="{1DA064CF-73A3-4AB5-90CE-17935F9838F5}" sibTransId="{04CAB252-2E69-4034-B59A-C1A90B2F2F4B}"/>
    <dgm:cxn modelId="{D600027F-0D63-45C7-8870-D1E90F395B8F}" type="presOf" srcId="{04CAB252-2E69-4034-B59A-C1A90B2F2F4B}" destId="{6489E1B5-A73E-4E9E-A67F-3DF3AD05886F}" srcOrd="0" destOrd="0" presId="urn:microsoft.com/office/officeart/2005/8/layout/cycle1"/>
    <dgm:cxn modelId="{E9756580-7CE2-4F9D-8042-3DF7D65E9E8A}" type="presOf" srcId="{6C2351E9-261E-4B6E-93B4-D7299BCA3643}" destId="{579F6EE8-F987-4328-9DAB-1B8FFA3BF0D7}" srcOrd="0" destOrd="0" presId="urn:microsoft.com/office/officeart/2005/8/layout/cycle1"/>
    <dgm:cxn modelId="{66613DA3-81AA-434C-83B3-022A66E2DD80}" type="presOf" srcId="{530430EA-3383-4EE8-8B22-9B1BA5FCEF5B}" destId="{8D6B2D52-2704-47C0-9B7B-8A01212B0A77}" srcOrd="0" destOrd="0" presId="urn:microsoft.com/office/officeart/2005/8/layout/cycle1"/>
    <dgm:cxn modelId="{DE274BAF-028C-48E9-B53B-D1D3E8B3596F}" srcId="{C13A2023-7D5F-4A8E-8DBE-E6E2263EB2DD}" destId="{47CCCC19-73ED-4A5D-A5FF-76FCC163D89D}" srcOrd="3" destOrd="0" parTransId="{4297FFAA-8648-48D9-A509-C482005E5FC7}" sibTransId="{530430EA-3383-4EE8-8B22-9B1BA5FCEF5B}"/>
    <dgm:cxn modelId="{A4B019BB-9358-4EE2-8B15-BFCFEFF03FC8}" type="presOf" srcId="{C13A2023-7D5F-4A8E-8DBE-E6E2263EB2DD}" destId="{7D35F36C-BE4E-45AB-BF96-57F0B2CEA38B}" srcOrd="0" destOrd="0" presId="urn:microsoft.com/office/officeart/2005/8/layout/cycle1"/>
    <dgm:cxn modelId="{59349BDC-3893-4BFF-A4A5-5F811F955DD4}" type="presOf" srcId="{117C3572-CBAA-44FA-A5ED-4EA0B8862FE6}" destId="{4EA74ED2-984A-4430-AC98-D397C593B147}" srcOrd="0" destOrd="0" presId="urn:microsoft.com/office/officeart/2005/8/layout/cycle1"/>
    <dgm:cxn modelId="{33E7B6E7-6F8E-4823-9282-DB192DF7C4A4}" type="presOf" srcId="{8625546B-5E6F-4463-A5E4-FF58993C634F}" destId="{7A7DF5C3-6826-47B3-8557-4ADA8ADFB736}" srcOrd="0" destOrd="0" presId="urn:microsoft.com/office/officeart/2005/8/layout/cycle1"/>
    <dgm:cxn modelId="{2AE5AEE8-E004-4FD2-ABC8-48BF9AA2DA6D}" type="presOf" srcId="{34282E2F-80AE-47A6-8700-D5A74270522C}" destId="{BBB6B393-6331-4266-802A-2EB7CDEEF44C}" srcOrd="0" destOrd="0" presId="urn:microsoft.com/office/officeart/2005/8/layout/cycle1"/>
    <dgm:cxn modelId="{055089EE-DDC1-4A49-82D7-CAD670FBAEED}" type="presOf" srcId="{47CCCC19-73ED-4A5D-A5FF-76FCC163D89D}" destId="{D3B0DA75-EFDB-41AD-8AE6-F3B4AED9CF2C}" srcOrd="0" destOrd="0" presId="urn:microsoft.com/office/officeart/2005/8/layout/cycle1"/>
    <dgm:cxn modelId="{D0F34C3C-995B-4FA4-A4B7-95A3B39E2EB8}" type="presParOf" srcId="{7D35F36C-BE4E-45AB-BF96-57F0B2CEA38B}" destId="{1AF14FDA-C050-4F5D-901B-8150573AFBC8}" srcOrd="0" destOrd="0" presId="urn:microsoft.com/office/officeart/2005/8/layout/cycle1"/>
    <dgm:cxn modelId="{62C5133C-7D48-4BF9-A004-A6DF128B268F}" type="presParOf" srcId="{7D35F36C-BE4E-45AB-BF96-57F0B2CEA38B}" destId="{7A7DF5C3-6826-47B3-8557-4ADA8ADFB736}" srcOrd="1" destOrd="0" presId="urn:microsoft.com/office/officeart/2005/8/layout/cycle1"/>
    <dgm:cxn modelId="{3F0A6345-FCB6-4A39-ADDB-8F5F24159E7E}" type="presParOf" srcId="{7D35F36C-BE4E-45AB-BF96-57F0B2CEA38B}" destId="{4EA74ED2-984A-4430-AC98-D397C593B147}" srcOrd="2" destOrd="0" presId="urn:microsoft.com/office/officeart/2005/8/layout/cycle1"/>
    <dgm:cxn modelId="{ADD3091F-96AC-44B1-98F0-D48458A4F15B}" type="presParOf" srcId="{7D35F36C-BE4E-45AB-BF96-57F0B2CEA38B}" destId="{13E27741-5E70-4544-90F4-9B60AA3781F5}" srcOrd="3" destOrd="0" presId="urn:microsoft.com/office/officeart/2005/8/layout/cycle1"/>
    <dgm:cxn modelId="{60FD5E0D-AAF1-4AE8-94E2-27B385CACE76}" type="presParOf" srcId="{7D35F36C-BE4E-45AB-BF96-57F0B2CEA38B}" destId="{E1EE26E9-8CD2-4387-9033-42D91922803C}" srcOrd="4" destOrd="0" presId="urn:microsoft.com/office/officeart/2005/8/layout/cycle1"/>
    <dgm:cxn modelId="{A49A1895-E9D7-46A5-9F44-984A19D1728E}" type="presParOf" srcId="{7D35F36C-BE4E-45AB-BF96-57F0B2CEA38B}" destId="{2C575562-7098-461A-BDE6-F112F2BC4A38}" srcOrd="5" destOrd="0" presId="urn:microsoft.com/office/officeart/2005/8/layout/cycle1"/>
    <dgm:cxn modelId="{6C92921E-7991-4A50-809B-8E53C9E7122A}" type="presParOf" srcId="{7D35F36C-BE4E-45AB-BF96-57F0B2CEA38B}" destId="{9995DB2A-681B-402B-BE5B-EC0BDB443C53}" srcOrd="6" destOrd="0" presId="urn:microsoft.com/office/officeart/2005/8/layout/cycle1"/>
    <dgm:cxn modelId="{EDCCE1F0-6CE4-4249-943C-5ABCE58E8016}" type="presParOf" srcId="{7D35F36C-BE4E-45AB-BF96-57F0B2CEA38B}" destId="{579F6EE8-F987-4328-9DAB-1B8FFA3BF0D7}" srcOrd="7" destOrd="0" presId="urn:microsoft.com/office/officeart/2005/8/layout/cycle1"/>
    <dgm:cxn modelId="{DAB48720-AAC3-44D5-9ADC-D5CD8F05BF52}" type="presParOf" srcId="{7D35F36C-BE4E-45AB-BF96-57F0B2CEA38B}" destId="{BBB6B393-6331-4266-802A-2EB7CDEEF44C}" srcOrd="8" destOrd="0" presId="urn:microsoft.com/office/officeart/2005/8/layout/cycle1"/>
    <dgm:cxn modelId="{B7A87DC0-9874-491C-8BC6-E4ED9CBE3077}" type="presParOf" srcId="{7D35F36C-BE4E-45AB-BF96-57F0B2CEA38B}" destId="{1D793392-3C1E-4044-922C-6D3E6217D9C0}" srcOrd="9" destOrd="0" presId="urn:microsoft.com/office/officeart/2005/8/layout/cycle1"/>
    <dgm:cxn modelId="{0E5C48C2-FBD5-46B9-9824-C942EFF56DAB}" type="presParOf" srcId="{7D35F36C-BE4E-45AB-BF96-57F0B2CEA38B}" destId="{D3B0DA75-EFDB-41AD-8AE6-F3B4AED9CF2C}" srcOrd="10" destOrd="0" presId="urn:microsoft.com/office/officeart/2005/8/layout/cycle1"/>
    <dgm:cxn modelId="{5CCE719F-2ECD-4AEA-979A-B0AD76F69D52}" type="presParOf" srcId="{7D35F36C-BE4E-45AB-BF96-57F0B2CEA38B}" destId="{8D6B2D52-2704-47C0-9B7B-8A01212B0A77}" srcOrd="11" destOrd="0" presId="urn:microsoft.com/office/officeart/2005/8/layout/cycle1"/>
    <dgm:cxn modelId="{F8122760-C6D5-4A3B-93E4-22C291D23384}" type="presParOf" srcId="{7D35F36C-BE4E-45AB-BF96-57F0B2CEA38B}" destId="{7F48C8C2-8722-422F-A0D7-F99706662A3B}" srcOrd="12" destOrd="0" presId="urn:microsoft.com/office/officeart/2005/8/layout/cycle1"/>
    <dgm:cxn modelId="{B489EF93-0B6E-4AF2-8305-234AE88176C1}" type="presParOf" srcId="{7D35F36C-BE4E-45AB-BF96-57F0B2CEA38B}" destId="{25F4AAC7-26D9-4C79-A8AE-E336FF637BE4}" srcOrd="13" destOrd="0" presId="urn:microsoft.com/office/officeart/2005/8/layout/cycle1"/>
    <dgm:cxn modelId="{5E6D2CF3-8D61-45DC-8239-2DA259AA3D3D}" type="presParOf" srcId="{7D35F36C-BE4E-45AB-BF96-57F0B2CEA38B}" destId="{6489E1B5-A73E-4E9E-A67F-3DF3AD05886F}" srcOrd="14" destOrd="0" presId="urn:microsoft.com/office/officeart/2005/8/layout/cycle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7A7DF5C3-6826-47B3-8557-4ADA8ADFB736}">
      <dsp:nvSpPr>
        <dsp:cNvPr id="0" name=""/>
        <dsp:cNvSpPr/>
      </dsp:nvSpPr>
      <dsp:spPr>
        <a:xfrm>
          <a:off x="4031344" y="31846"/>
          <a:ext cx="1090007" cy="1090007"/>
        </a:xfrm>
        <a:prstGeom prst="rect">
          <a:avLst/>
        </a:prstGeom>
        <a:noFill/>
        <a:ln w="12700" cap="flat" cmpd="sng" algn="ctr">
          <a:solidFill>
            <a:schemeClr val="dk1">
              <a:alpha val="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200" kern="1200"/>
            <a:t>Contratacion</a:t>
          </a:r>
        </a:p>
      </dsp:txBody>
      <dsp:txXfrm>
        <a:off x="4031344" y="31846"/>
        <a:ext cx="1090007" cy="1090007"/>
      </dsp:txXfrm>
    </dsp:sp>
    <dsp:sp modelId="{4EA74ED2-984A-4430-AC98-D397C593B147}">
      <dsp:nvSpPr>
        <dsp:cNvPr id="0" name=""/>
        <dsp:cNvSpPr/>
      </dsp:nvSpPr>
      <dsp:spPr>
        <a:xfrm>
          <a:off x="1465453" y="96"/>
          <a:ext cx="4089017" cy="4089017"/>
        </a:xfrm>
        <a:prstGeom prst="circularArrow">
          <a:avLst>
            <a:gd name="adj1" fmla="val 5198"/>
            <a:gd name="adj2" fmla="val 335764"/>
            <a:gd name="adj3" fmla="val 21293851"/>
            <a:gd name="adj4" fmla="val 19765706"/>
            <a:gd name="adj5" fmla="val 6064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1EE26E9-8CD2-4387-9033-42D91922803C}">
      <dsp:nvSpPr>
        <dsp:cNvPr id="0" name=""/>
        <dsp:cNvSpPr/>
      </dsp:nvSpPr>
      <dsp:spPr>
        <a:xfrm>
          <a:off x="4690407" y="2060233"/>
          <a:ext cx="1090007" cy="1090007"/>
        </a:xfrm>
        <a:prstGeom prst="rect">
          <a:avLst/>
        </a:prstGeom>
        <a:noFill/>
        <a:ln w="12700" cap="flat" cmpd="sng" algn="ctr">
          <a:solidFill>
            <a:schemeClr val="dk1">
              <a:alpha val="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200" kern="1200"/>
            <a:t>Ingreso al sistema</a:t>
          </a:r>
        </a:p>
      </dsp:txBody>
      <dsp:txXfrm>
        <a:off x="4690407" y="2060233"/>
        <a:ext cx="1090007" cy="1090007"/>
      </dsp:txXfrm>
    </dsp:sp>
    <dsp:sp modelId="{2C575562-7098-461A-BDE6-F112F2BC4A38}">
      <dsp:nvSpPr>
        <dsp:cNvPr id="0" name=""/>
        <dsp:cNvSpPr/>
      </dsp:nvSpPr>
      <dsp:spPr>
        <a:xfrm>
          <a:off x="1465453" y="96"/>
          <a:ext cx="4089017" cy="4089017"/>
        </a:xfrm>
        <a:prstGeom prst="circularArrow">
          <a:avLst>
            <a:gd name="adj1" fmla="val 5198"/>
            <a:gd name="adj2" fmla="val 335764"/>
            <a:gd name="adj3" fmla="val 4015329"/>
            <a:gd name="adj4" fmla="val 2252853"/>
            <a:gd name="adj5" fmla="val 6064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579F6EE8-F987-4328-9DAB-1B8FFA3BF0D7}">
      <dsp:nvSpPr>
        <dsp:cNvPr id="0" name=""/>
        <dsp:cNvSpPr/>
      </dsp:nvSpPr>
      <dsp:spPr>
        <a:xfrm>
          <a:off x="2964958" y="3313846"/>
          <a:ext cx="1090007" cy="1090007"/>
        </a:xfrm>
        <a:prstGeom prst="rect">
          <a:avLst/>
        </a:prstGeom>
        <a:noFill/>
        <a:ln w="12700" cap="flat" cmpd="sng" algn="ctr">
          <a:solidFill>
            <a:schemeClr val="dk1">
              <a:alpha val="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200" kern="1200"/>
            <a:t>Calculo de sueldos</a:t>
          </a:r>
        </a:p>
      </dsp:txBody>
      <dsp:txXfrm>
        <a:off x="2964958" y="3313846"/>
        <a:ext cx="1090007" cy="1090007"/>
      </dsp:txXfrm>
    </dsp:sp>
    <dsp:sp modelId="{BBB6B393-6331-4266-802A-2EB7CDEEF44C}">
      <dsp:nvSpPr>
        <dsp:cNvPr id="0" name=""/>
        <dsp:cNvSpPr/>
      </dsp:nvSpPr>
      <dsp:spPr>
        <a:xfrm>
          <a:off x="1465453" y="96"/>
          <a:ext cx="4089017" cy="4089017"/>
        </a:xfrm>
        <a:prstGeom prst="circularArrow">
          <a:avLst>
            <a:gd name="adj1" fmla="val 5198"/>
            <a:gd name="adj2" fmla="val 335764"/>
            <a:gd name="adj3" fmla="val 8211383"/>
            <a:gd name="adj4" fmla="val 6448907"/>
            <a:gd name="adj5" fmla="val 6064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D3B0DA75-EFDB-41AD-8AE6-F3B4AED9CF2C}">
      <dsp:nvSpPr>
        <dsp:cNvPr id="0" name=""/>
        <dsp:cNvSpPr/>
      </dsp:nvSpPr>
      <dsp:spPr>
        <a:xfrm>
          <a:off x="1239509" y="2060233"/>
          <a:ext cx="1090007" cy="1090007"/>
        </a:xfrm>
        <a:prstGeom prst="rect">
          <a:avLst/>
        </a:prstGeom>
        <a:noFill/>
        <a:ln w="12700" cap="flat" cmpd="sng" algn="ctr">
          <a:solidFill>
            <a:schemeClr val="dk1">
              <a:alpha val="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200" kern="1200"/>
            <a:t>Libro de remuneraciones</a:t>
          </a:r>
        </a:p>
      </dsp:txBody>
      <dsp:txXfrm>
        <a:off x="1239509" y="2060233"/>
        <a:ext cx="1090007" cy="1090007"/>
      </dsp:txXfrm>
    </dsp:sp>
    <dsp:sp modelId="{8D6B2D52-2704-47C0-9B7B-8A01212B0A77}">
      <dsp:nvSpPr>
        <dsp:cNvPr id="0" name=""/>
        <dsp:cNvSpPr/>
      </dsp:nvSpPr>
      <dsp:spPr>
        <a:xfrm>
          <a:off x="1465453" y="96"/>
          <a:ext cx="4089017" cy="4089017"/>
        </a:xfrm>
        <a:prstGeom prst="circularArrow">
          <a:avLst>
            <a:gd name="adj1" fmla="val 5198"/>
            <a:gd name="adj2" fmla="val 335764"/>
            <a:gd name="adj3" fmla="val 12298531"/>
            <a:gd name="adj4" fmla="val 10770386"/>
            <a:gd name="adj5" fmla="val 6064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25F4AAC7-26D9-4C79-A8AE-E336FF637BE4}">
      <dsp:nvSpPr>
        <dsp:cNvPr id="0" name=""/>
        <dsp:cNvSpPr/>
      </dsp:nvSpPr>
      <dsp:spPr>
        <a:xfrm>
          <a:off x="1898572" y="31846"/>
          <a:ext cx="1090007" cy="1090007"/>
        </a:xfrm>
        <a:prstGeom prst="rect">
          <a:avLst/>
        </a:prstGeom>
        <a:noFill/>
        <a:ln w="12700" cap="flat" cmpd="sng" algn="ctr">
          <a:solidFill>
            <a:schemeClr val="dk1">
              <a:alpha val="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5240" tIns="15240" rIns="15240" bIns="15240" numCol="1" spcCol="1270" anchor="ctr" anchorCtr="0">
          <a:noAutofit/>
        </a:bodyPr>
        <a:lstStyle/>
        <a:p>
          <a:pPr marL="0" lvl="0" indent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CL" sz="1200" kern="1200"/>
            <a:t>Centralizacion</a:t>
          </a:r>
        </a:p>
      </dsp:txBody>
      <dsp:txXfrm>
        <a:off x="1898572" y="31846"/>
        <a:ext cx="1090007" cy="1090007"/>
      </dsp:txXfrm>
    </dsp:sp>
    <dsp:sp modelId="{6489E1B5-A73E-4E9E-A67F-3DF3AD05886F}">
      <dsp:nvSpPr>
        <dsp:cNvPr id="0" name=""/>
        <dsp:cNvSpPr/>
      </dsp:nvSpPr>
      <dsp:spPr>
        <a:xfrm>
          <a:off x="1465453" y="96"/>
          <a:ext cx="4089017" cy="4089017"/>
        </a:xfrm>
        <a:prstGeom prst="circularArrow">
          <a:avLst>
            <a:gd name="adj1" fmla="val 5198"/>
            <a:gd name="adj2" fmla="val 335764"/>
            <a:gd name="adj3" fmla="val 16866316"/>
            <a:gd name="adj4" fmla="val 15197921"/>
            <a:gd name="adj5" fmla="val 6064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1200000"/>
          </a:lightRig>
        </a:scene3d>
        <a:sp3d contourW="19050" prstMaterial="metal">
          <a:bevelT w="88900" h="203200"/>
          <a:bevelB w="165100" h="254000"/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1">
  <dgm:title val=""/>
  <dgm:desc val=""/>
  <dgm:catLst>
    <dgm:cat type="cycle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alg type="cycle">
          <dgm:param type="stAng" val="0"/>
          <dgm:param type="spanAng" val="360"/>
        </dgm:alg>
      </dgm:if>
      <dgm:else name="Name2">
        <dgm:alg type="cycle">
          <dgm:param type="stAng" val="0"/>
          <dgm:param type="spanAng" val="-360"/>
        </dgm:alg>
      </dgm:else>
    </dgm:choose>
    <dgm:shape xmlns:r="http://schemas.openxmlformats.org/officeDocument/2006/relationships" r:blip="">
      <dgm:adjLst/>
    </dgm:shape>
    <dgm:presOf/>
    <dgm:choose name="Name3">
      <dgm:if name="Name4" func="var" arg="dir" op="equ" val="norm">
        <dgm:constrLst>
          <dgm:constr type="diam" val="1"/>
          <dgm:constr type="w" for="ch" forName="node" refType="w"/>
          <dgm:constr type="w" for="ch" ptType="sibTrans" refType="w" refFor="ch" refForName="node" fact="0.5"/>
          <dgm:constr type="h" for="ch" ptType="sibTrans" op="equ"/>
          <dgm:constr type="diam" for="ch" ptType="sibTrans" refType="diam" op="equ"/>
          <dgm:constr type="sibSp" refType="w" refFor="ch" refForName="node" fact="0.15"/>
          <dgm:constr type="w" for="ch" forName="dummy" refType="sibSp" fact="2.8"/>
          <dgm:constr type="primFontSz" for="ch" forName="node" op="equ" val="65"/>
        </dgm:constrLst>
      </dgm:if>
      <dgm:else name="Name5">
        <dgm:constrLst>
          <dgm:constr type="diam" val="1"/>
          <dgm:constr type="w" for="ch" forName="node" refType="w"/>
          <dgm:constr type="w" for="ch" ptType="sibTrans" refType="w" refFor="ch" refForName="node" fact="0.5"/>
          <dgm:constr type="h" for="ch" ptType="sibTrans" op="equ"/>
          <dgm:constr type="diam" for="ch" ptType="sibTrans" refType="diam" op="equ" fact="-1"/>
          <dgm:constr type="sibSp" refType="w" refFor="ch" refForName="node" fact="0.15"/>
          <dgm:constr type="w" for="ch" forName="dummy" refType="sibSp" fact="2.8"/>
          <dgm:constr type="primFontSz" for="ch" forName="node" op="equ" val="65"/>
        </dgm:constrLst>
      </dgm:else>
    </dgm:choose>
    <dgm:ruleLst>
      <dgm:rule type="diam" val="INF" fact="NaN" max="NaN"/>
    </dgm:ruleLst>
    <dgm:forEach name="nodesForEach" axis="ch" ptType="node">
      <dgm:choose name="Name6">
        <dgm:if name="Name7" axis="par ch" ptType="doc node" func="cnt" op="gt" val="1">
          <dgm:layoutNode name="dummy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</dgm:if>
        <dgm:else name="Name8"/>
      </dgm:choose>
      <dgm:layoutNode name="node" styleLbl="revTx">
        <dgm:varLst>
          <dgm:bulletEnabled val="1"/>
        </dgm:varLst>
        <dgm:alg type="tx">
          <dgm:param type="txAnchorVertCh" val="mid"/>
        </dgm:alg>
        <dgm:shape xmlns:r="http://schemas.openxmlformats.org/officeDocument/2006/relationships" type="rect" r:blip="">
          <dgm:adjLst/>
        </dgm:shape>
        <dgm:presOf axis="desOrSelf" ptType="node"/>
        <dgm:constrLst>
          <dgm:constr type="h" refType="w"/>
          <dgm:constr type="lMarg" refType="primFontSz" fact="0.1"/>
          <dgm:constr type="rMarg" refType="primFontSz" fact="0.1"/>
          <dgm:constr type="tMarg" refType="primFontSz" fact="0.1"/>
          <dgm:constr type="bMarg" refType="primFontSz" fact="0.1"/>
        </dgm:constrLst>
        <dgm:ruleLst>
          <dgm:rule type="primFontSz" val="5" fact="NaN" max="NaN"/>
        </dgm:ruleLst>
      </dgm:layoutNode>
      <dgm:choose name="Name9">
        <dgm:if name="Name10" axis="par ch" ptType="doc node" func="cnt" op="gt" val="1">
          <dgm:forEach name="Name11" axis="followSib" ptType="sibTrans" hideLastTrans="0" cnt="1">
            <dgm:layoutNode name="sibTrans" styleLbl="node1">
              <dgm:alg type="conn"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begPad"/>
                <dgm:constr type="endPad"/>
              </dgm:constrLst>
              <dgm:ruleLst/>
            </dgm:layoutNode>
          </dgm:forEach>
        </dgm:if>
        <dgm:else name="Name12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3">
  <dgm:title val=""/>
  <dgm:desc val=""/>
  <dgm:catLst>
    <dgm:cat type="3D" pri="11300"/>
  </dgm:catLst>
  <dgm:scene3d>
    <a:camera prst="orthographicFront"/>
    <a:lightRig rig="threePt" dir="t"/>
  </dgm:scene3d>
  <dgm:styleLbl name="node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clear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182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>
        <a:rot lat="0" lon="0" rev="0"/>
      </a:camera>
      <a:lightRig rig="contrasting" dir="t">
        <a:rot lat="0" lon="0" rev="1200000"/>
      </a:lightRig>
    </dgm:scene3d>
    <dgm:sp3d z="10000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>
        <a:rot lat="0" lon="0" rev="0"/>
      </a:camera>
      <a:lightRig rig="contrasting" dir="t">
        <a:rot lat="0" lon="0" rev="1200000"/>
      </a:lightRig>
    </dgm:scene3d>
    <dgm:sp3d z="-110000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2700" prstMaterial="flat">
      <a:bevelT w="177800" h="2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>
        <a:rot lat="0" lon="0" rev="0"/>
      </a:camera>
      <a:lightRig rig="contrasting" dir="t">
        <a:rot lat="0" lon="0" rev="1200000"/>
      </a:lightRig>
    </dgm:scene3d>
    <dgm:sp3d z="-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>
        <a:rot lat="0" lon="0" rev="0"/>
      </a:camera>
      <a:lightRig rig="contrasting" dir="t">
        <a:rot lat="0" lon="0" rev="1200000"/>
      </a:lightRig>
    </dgm:scene3d>
    <dgm:sp3d z="-300000" prstMaterial="plastic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>
        <a:rot lat="0" lon="0" rev="0"/>
      </a:camera>
      <a:lightRig rig="contrasting" dir="t">
        <a:rot lat="0" lon="0" rev="1200000"/>
      </a:lightRig>
    </dgm:scene3d>
    <dgm:sp3d contourW="12700" prstMaterial="flat">
      <a:bevelT w="100800" h="154000"/>
      <a:bevelB w="1524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>
        <a:rot lat="0" lon="0" rev="0"/>
      </a:camera>
      <a:lightRig rig="contrasting" dir="t">
        <a:rot lat="0" lon="0" rev="1200000"/>
      </a:lightRig>
    </dgm:scene3d>
    <dgm:sp3d z="-152400" prstMaterial="matte"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>
        <a:rot lat="0" lon="0" rev="0"/>
      </a:camera>
      <a:lightRig rig="contrasting" dir="t">
        <a:rot lat="0" lon="0" rev="1200000"/>
      </a:lightRig>
    </dgm:scene3d>
    <dgm:sp3d z="300000" contourW="19050" prstMaterial="metal">
      <a:bevelT w="88900" h="203200"/>
      <a:bevelB w="165100" h="254000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314324</xdr:colOff>
      <xdr:row>1</xdr:row>
      <xdr:rowOff>52386</xdr:rowOff>
    </xdr:from>
    <xdr:to>
      <xdr:col>10</xdr:col>
      <xdr:colOff>476249</xdr:colOff>
      <xdr:row>24</xdr:row>
      <xdr:rowOff>76199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B0C5C722-187C-623F-D42A-E5E047D3F9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5D81-F13D-4EBD-85E7-3DEE9A1231AB}">
  <dimension ref="A1"/>
  <sheetViews>
    <sheetView showGridLines="0" tabSelected="1"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0FE62-FEFD-4A55-B1AF-598DD0C58FED}">
  <sheetPr>
    <pageSetUpPr fitToPage="1"/>
  </sheetPr>
  <dimension ref="A1:V38"/>
  <sheetViews>
    <sheetView showGridLines="0" workbookViewId="0">
      <selection activeCell="K26" sqref="K26"/>
    </sheetView>
  </sheetViews>
  <sheetFormatPr baseColWidth="10" defaultRowHeight="15" x14ac:dyDescent="0.25"/>
  <cols>
    <col min="5" max="5" width="13.42578125" customWidth="1"/>
    <col min="6" max="6" width="18" customWidth="1"/>
    <col min="8" max="9" width="17.42578125" customWidth="1"/>
    <col min="10" max="10" width="3.28515625" customWidth="1"/>
    <col min="12" max="12" width="1.7109375" customWidth="1"/>
    <col min="22" max="22" width="5.42578125" customWidth="1"/>
  </cols>
  <sheetData>
    <row r="1" spans="1:15" x14ac:dyDescent="0.25">
      <c r="A1" s="59"/>
    </row>
    <row r="2" spans="1:15" ht="15.75" thickBot="1" x14ac:dyDescent="0.3"/>
    <row r="3" spans="1:15" ht="15.75" thickBot="1" x14ac:dyDescent="0.3">
      <c r="C3" s="70" t="s">
        <v>1</v>
      </c>
      <c r="D3" s="71"/>
      <c r="E3" s="71"/>
      <c r="F3" s="71"/>
      <c r="G3" s="71"/>
      <c r="H3" s="71"/>
      <c r="I3" s="72"/>
      <c r="M3" s="14">
        <v>45</v>
      </c>
      <c r="N3" t="s">
        <v>5</v>
      </c>
    </row>
    <row r="4" spans="1:15" x14ac:dyDescent="0.25">
      <c r="C4" s="73"/>
      <c r="D4" s="74"/>
      <c r="E4" s="74"/>
      <c r="F4" s="74"/>
      <c r="G4" s="74"/>
      <c r="H4" s="74"/>
      <c r="I4" s="75"/>
      <c r="N4" t="s">
        <v>6</v>
      </c>
      <c r="O4" t="s">
        <v>7</v>
      </c>
    </row>
    <row r="5" spans="1:15" x14ac:dyDescent="0.25">
      <c r="C5" s="76" t="s">
        <v>2</v>
      </c>
      <c r="D5" s="77"/>
      <c r="E5" s="77"/>
      <c r="F5" s="77"/>
      <c r="G5" s="77"/>
      <c r="H5" s="77"/>
      <c r="I5" s="78"/>
    </row>
    <row r="6" spans="1:15" x14ac:dyDescent="0.25">
      <c r="C6" s="76"/>
      <c r="D6" s="77"/>
      <c r="E6" s="77"/>
      <c r="F6" s="77"/>
      <c r="G6" s="77"/>
      <c r="H6" s="77"/>
      <c r="I6" s="78"/>
    </row>
    <row r="7" spans="1:15" ht="15.75" thickBot="1" x14ac:dyDescent="0.3">
      <c r="C7" s="76"/>
      <c r="D7" s="77"/>
      <c r="E7" s="77"/>
      <c r="F7" s="77"/>
      <c r="G7" s="77"/>
      <c r="H7" s="77"/>
      <c r="I7" s="78"/>
      <c r="K7" s="17" t="s">
        <v>3</v>
      </c>
    </row>
    <row r="8" spans="1:15" ht="15.75" thickBot="1" x14ac:dyDescent="0.3">
      <c r="C8" s="79"/>
      <c r="D8" s="80"/>
      <c r="E8" s="80"/>
      <c r="F8" s="80"/>
      <c r="G8" s="80"/>
      <c r="H8" s="80"/>
      <c r="I8" s="81"/>
      <c r="K8" s="14">
        <v>30</v>
      </c>
      <c r="M8" s="16" t="s">
        <v>4</v>
      </c>
    </row>
    <row r="9" spans="1:15" ht="15.75" thickBot="1" x14ac:dyDescent="0.3"/>
    <row r="10" spans="1:15" ht="15.75" thickBot="1" x14ac:dyDescent="0.3">
      <c r="C10" s="64" t="s">
        <v>8</v>
      </c>
      <c r="D10" s="65"/>
      <c r="E10" s="66"/>
      <c r="F10" s="12"/>
      <c r="G10" s="12"/>
      <c r="H10" s="12"/>
      <c r="I10" s="13"/>
    </row>
    <row r="11" spans="1:15" x14ac:dyDescent="0.25">
      <c r="C11" s="33" t="s">
        <v>9</v>
      </c>
      <c r="I11" s="5"/>
    </row>
    <row r="12" spans="1:15" x14ac:dyDescent="0.25">
      <c r="C12" s="4"/>
      <c r="I12" s="5"/>
    </row>
    <row r="13" spans="1:15" x14ac:dyDescent="0.25">
      <c r="C13" s="4" t="s">
        <v>0</v>
      </c>
      <c r="E13" t="s">
        <v>12</v>
      </c>
      <c r="I13" s="5"/>
    </row>
    <row r="14" spans="1:15" x14ac:dyDescent="0.25">
      <c r="C14" s="4" t="s">
        <v>10</v>
      </c>
      <c r="E14" t="s">
        <v>13</v>
      </c>
      <c r="I14" s="5"/>
    </row>
    <row r="15" spans="1:15" x14ac:dyDescent="0.25">
      <c r="C15" s="4" t="s">
        <v>11</v>
      </c>
      <c r="I15" s="5"/>
    </row>
    <row r="16" spans="1:15" ht="15.75" thickBot="1" x14ac:dyDescent="0.3">
      <c r="C16" s="18"/>
      <c r="D16" s="19"/>
      <c r="E16" s="19"/>
      <c r="F16" s="19"/>
      <c r="G16" s="19"/>
      <c r="H16" s="19"/>
      <c r="I16" s="20"/>
    </row>
    <row r="17" spans="3:22" ht="16.5" thickTop="1" thickBot="1" x14ac:dyDescent="0.3">
      <c r="C17" s="4"/>
      <c r="I17" s="5"/>
      <c r="M17" s="82" t="s">
        <v>20</v>
      </c>
      <c r="N17" s="83"/>
    </row>
    <row r="18" spans="3:22" x14ac:dyDescent="0.25">
      <c r="C18" s="33" t="s">
        <v>9</v>
      </c>
      <c r="I18" s="5"/>
      <c r="M18" s="84" t="s">
        <v>21</v>
      </c>
      <c r="N18" s="85"/>
      <c r="O18" s="85"/>
      <c r="P18" s="85"/>
      <c r="Q18" s="85"/>
      <c r="R18" s="86"/>
    </row>
    <row r="19" spans="3:22" ht="15.75" thickBot="1" x14ac:dyDescent="0.3">
      <c r="C19" s="21"/>
      <c r="I19" s="5"/>
      <c r="M19" s="79"/>
      <c r="N19" s="80"/>
      <c r="O19" s="80"/>
      <c r="P19" s="80"/>
      <c r="Q19" s="80"/>
      <c r="R19" s="81"/>
    </row>
    <row r="20" spans="3:22" x14ac:dyDescent="0.25">
      <c r="C20" s="4" t="s">
        <v>14</v>
      </c>
      <c r="E20" s="26" t="s">
        <v>16</v>
      </c>
      <c r="G20" t="s">
        <v>18</v>
      </c>
      <c r="I20" s="5"/>
    </row>
    <row r="21" spans="3:22" ht="15.75" thickBot="1" x14ac:dyDescent="0.3">
      <c r="C21" s="4" t="s">
        <v>15</v>
      </c>
      <c r="E21" t="s">
        <v>17</v>
      </c>
      <c r="G21" s="22" t="s">
        <v>19</v>
      </c>
      <c r="I21" s="5"/>
    </row>
    <row r="22" spans="3:22" ht="15.75" thickBot="1" x14ac:dyDescent="0.3">
      <c r="C22" s="7"/>
      <c r="D22" s="8"/>
      <c r="E22" s="8"/>
      <c r="F22" s="8"/>
      <c r="G22" s="8"/>
      <c r="H22" s="8"/>
      <c r="I22" s="9"/>
      <c r="M22" s="87" t="s">
        <v>33</v>
      </c>
      <c r="N22" s="88"/>
      <c r="O22" s="89"/>
    </row>
    <row r="23" spans="3:22" ht="15.75" thickBot="1" x14ac:dyDescent="0.3">
      <c r="M23" s="11"/>
      <c r="N23" s="12"/>
      <c r="O23" s="12"/>
      <c r="P23" s="12"/>
      <c r="Q23" s="12"/>
      <c r="R23" s="12"/>
      <c r="S23" s="12"/>
      <c r="T23" s="12"/>
      <c r="U23" s="12"/>
      <c r="V23" s="13"/>
    </row>
    <row r="24" spans="3:22" ht="15.75" thickBot="1" x14ac:dyDescent="0.3">
      <c r="C24" s="64" t="s">
        <v>34</v>
      </c>
      <c r="D24" s="65"/>
      <c r="E24" s="66"/>
      <c r="F24" s="12"/>
      <c r="G24" s="12"/>
      <c r="H24" s="12"/>
      <c r="I24" s="13"/>
      <c r="M24" s="31" t="s">
        <v>22</v>
      </c>
      <c r="N24" s="8"/>
      <c r="O24" s="8"/>
      <c r="P24" s="8" t="s">
        <v>23</v>
      </c>
      <c r="Q24" s="8"/>
      <c r="R24" s="8"/>
      <c r="S24" s="25" t="s">
        <v>24</v>
      </c>
      <c r="T24" s="8"/>
      <c r="U24" s="8"/>
      <c r="V24" s="5"/>
    </row>
    <row r="25" spans="3:22" x14ac:dyDescent="0.25">
      <c r="C25" s="4"/>
      <c r="I25" s="5"/>
      <c r="M25" s="32" t="s">
        <v>25</v>
      </c>
      <c r="P25" t="s">
        <v>26</v>
      </c>
      <c r="S25" s="24" t="s">
        <v>28</v>
      </c>
      <c r="V25" s="5"/>
    </row>
    <row r="26" spans="3:22" x14ac:dyDescent="0.25">
      <c r="C26" s="33" t="s">
        <v>35</v>
      </c>
      <c r="F26" s="23" t="s">
        <v>48</v>
      </c>
      <c r="I26" s="5"/>
      <c r="M26" s="4"/>
      <c r="P26" t="s">
        <v>27</v>
      </c>
      <c r="V26" s="5"/>
    </row>
    <row r="27" spans="3:22" ht="15.75" thickBot="1" x14ac:dyDescent="0.3">
      <c r="C27" s="4" t="s">
        <v>36</v>
      </c>
      <c r="F27" t="s">
        <v>49</v>
      </c>
      <c r="I27" s="5"/>
      <c r="M27" s="4"/>
      <c r="S27" s="67" t="s">
        <v>29</v>
      </c>
      <c r="T27" s="67"/>
      <c r="U27" s="67"/>
      <c r="V27" s="5"/>
    </row>
    <row r="28" spans="3:22" ht="15.75" thickTop="1" x14ac:dyDescent="0.25">
      <c r="C28" s="4" t="s">
        <v>37</v>
      </c>
      <c r="I28" s="5"/>
      <c r="M28" s="4"/>
      <c r="S28" s="16" t="s">
        <v>30</v>
      </c>
      <c r="U28" s="6">
        <v>8500</v>
      </c>
      <c r="V28" s="5"/>
    </row>
    <row r="29" spans="3:22" x14ac:dyDescent="0.25">
      <c r="C29" s="4" t="s">
        <v>38</v>
      </c>
      <c r="F29" s="23" t="s">
        <v>40</v>
      </c>
      <c r="I29" s="5"/>
      <c r="M29" s="4"/>
      <c r="S29" s="16" t="s">
        <v>31</v>
      </c>
      <c r="U29" s="6">
        <f>8500*5</f>
        <v>42500</v>
      </c>
      <c r="V29" s="5"/>
    </row>
    <row r="30" spans="3:22" ht="15.75" thickBot="1" x14ac:dyDescent="0.3">
      <c r="C30" s="4" t="s">
        <v>39</v>
      </c>
      <c r="F30" t="s">
        <v>41</v>
      </c>
      <c r="I30" s="5"/>
      <c r="M30" s="4"/>
      <c r="S30" s="29" t="s">
        <v>32</v>
      </c>
      <c r="T30" s="29"/>
      <c r="U30" s="30">
        <f>SUM(U28:U29)</f>
        <v>51000</v>
      </c>
      <c r="V30" s="5"/>
    </row>
    <row r="31" spans="3:22" ht="16.5" thickTop="1" thickBot="1" x14ac:dyDescent="0.3">
      <c r="C31" s="7"/>
      <c r="D31" s="8"/>
      <c r="E31" s="8"/>
      <c r="F31" s="8"/>
      <c r="G31" s="8"/>
      <c r="H31" s="8"/>
      <c r="I31" s="9"/>
      <c r="M31" s="4"/>
      <c r="V31" s="5"/>
    </row>
    <row r="32" spans="3:22" ht="15.75" thickBot="1" x14ac:dyDescent="0.3">
      <c r="M32" s="7"/>
      <c r="N32" s="8"/>
      <c r="O32" s="8"/>
      <c r="P32" s="8"/>
      <c r="Q32" s="8"/>
      <c r="R32" s="8"/>
      <c r="S32" s="8"/>
      <c r="T32" s="8"/>
      <c r="U32" s="8"/>
      <c r="V32" s="9"/>
    </row>
    <row r="33" spans="3:15" x14ac:dyDescent="0.25">
      <c r="C33" s="11"/>
      <c r="D33" s="12"/>
      <c r="E33" s="12"/>
      <c r="F33" s="12"/>
      <c r="G33" s="12"/>
      <c r="H33" s="12"/>
      <c r="I33" s="13"/>
    </row>
    <row r="34" spans="3:15" x14ac:dyDescent="0.25">
      <c r="C34" s="60" t="s">
        <v>42</v>
      </c>
      <c r="D34" s="61"/>
      <c r="E34" s="61"/>
      <c r="F34" s="61"/>
      <c r="G34" s="61"/>
      <c r="H34" s="68" t="s">
        <v>43</v>
      </c>
      <c r="I34" s="69"/>
      <c r="N34" s="35">
        <v>0.25</v>
      </c>
      <c r="O34" s="35">
        <v>0.5</v>
      </c>
    </row>
    <row r="35" spans="3:15" x14ac:dyDescent="0.25">
      <c r="C35" s="60" t="s">
        <v>44</v>
      </c>
      <c r="D35" s="61"/>
      <c r="E35" s="61"/>
      <c r="F35" s="61"/>
      <c r="G35" s="61"/>
      <c r="H35" s="68" t="s">
        <v>45</v>
      </c>
      <c r="I35" s="69"/>
      <c r="M35" s="2">
        <v>500000</v>
      </c>
      <c r="N35" s="2">
        <f>+M35/4</f>
        <v>125000</v>
      </c>
      <c r="O35" s="2">
        <f>+M35/2</f>
        <v>250000</v>
      </c>
    </row>
    <row r="36" spans="3:15" x14ac:dyDescent="0.25">
      <c r="C36" s="60" t="s">
        <v>46</v>
      </c>
      <c r="D36" s="61"/>
      <c r="E36" s="61"/>
      <c r="F36" s="61"/>
      <c r="G36" s="61"/>
      <c r="H36" s="62" t="s">
        <v>47</v>
      </c>
      <c r="I36" s="63"/>
    </row>
    <row r="37" spans="3:15" x14ac:dyDescent="0.25">
      <c r="C37" s="4"/>
      <c r="I37" s="5"/>
    </row>
    <row r="38" spans="3:15" ht="15.75" thickBot="1" x14ac:dyDescent="0.3">
      <c r="C38" s="7"/>
      <c r="D38" s="8"/>
      <c r="E38" s="8"/>
      <c r="F38" s="8"/>
      <c r="G38" s="8"/>
      <c r="H38" s="8"/>
      <c r="I38" s="9"/>
    </row>
  </sheetData>
  <mergeCells count="14">
    <mergeCell ref="M22:O22"/>
    <mergeCell ref="C3:I4"/>
    <mergeCell ref="C5:I8"/>
    <mergeCell ref="C10:E10"/>
    <mergeCell ref="M17:N17"/>
    <mergeCell ref="M18:R19"/>
    <mergeCell ref="C36:G36"/>
    <mergeCell ref="H36:I36"/>
    <mergeCell ref="C24:E24"/>
    <mergeCell ref="S27:U27"/>
    <mergeCell ref="C34:G34"/>
    <mergeCell ref="H34:I34"/>
    <mergeCell ref="C35:G35"/>
    <mergeCell ref="H35:I35"/>
  </mergeCells>
  <pageMargins left="0.70866141732283472" right="0.70866141732283472" top="0.74803149606299213" bottom="0.74803149606299213" header="0.31496062992125984" footer="0.31496062992125984"/>
  <pageSetup scale="8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FBA25-7E0E-4955-9669-7D96DACC77D5}">
  <dimension ref="B3:I52"/>
  <sheetViews>
    <sheetView showGridLines="0" workbookViewId="0"/>
  </sheetViews>
  <sheetFormatPr baseColWidth="10" defaultRowHeight="15" x14ac:dyDescent="0.25"/>
  <cols>
    <col min="2" max="2" width="23.5703125" customWidth="1"/>
    <col min="3" max="3" width="45" customWidth="1"/>
    <col min="4" max="4" width="13.140625" customWidth="1"/>
  </cols>
  <sheetData>
    <row r="3" spans="2:5" x14ac:dyDescent="0.25">
      <c r="B3" s="36" t="s">
        <v>51</v>
      </c>
      <c r="C3" s="37">
        <v>30</v>
      </c>
    </row>
    <row r="4" spans="2:5" x14ac:dyDescent="0.25">
      <c r="B4" s="36" t="s">
        <v>58</v>
      </c>
      <c r="C4" s="42" t="s">
        <v>59</v>
      </c>
    </row>
    <row r="5" spans="2:5" x14ac:dyDescent="0.25">
      <c r="B5" s="36" t="s">
        <v>62</v>
      </c>
      <c r="C5" s="42" t="s">
        <v>63</v>
      </c>
    </row>
    <row r="6" spans="2:5" x14ac:dyDescent="0.25">
      <c r="B6" s="36" t="s">
        <v>77</v>
      </c>
      <c r="C6" s="42" t="s">
        <v>76</v>
      </c>
    </row>
    <row r="8" spans="2:5" x14ac:dyDescent="0.25">
      <c r="B8" s="1" t="s">
        <v>50</v>
      </c>
      <c r="D8" s="2">
        <v>460000</v>
      </c>
    </row>
    <row r="9" spans="2:5" x14ac:dyDescent="0.25">
      <c r="B9" s="90" t="s">
        <v>52</v>
      </c>
      <c r="C9" t="s">
        <v>53</v>
      </c>
      <c r="D9" s="2">
        <f>(460000*4.75)/12</f>
        <v>182083.33333333334</v>
      </c>
      <c r="E9" s="44">
        <f>D8*0.25</f>
        <v>115000</v>
      </c>
    </row>
    <row r="10" spans="2:5" x14ac:dyDescent="0.25">
      <c r="B10" s="91"/>
      <c r="C10" s="38" t="s">
        <v>54</v>
      </c>
      <c r="D10" s="39">
        <v>15000</v>
      </c>
    </row>
    <row r="12" spans="2:5" x14ac:dyDescent="0.25">
      <c r="B12" s="90" t="s">
        <v>55</v>
      </c>
      <c r="C12" s="2">
        <v>3000000</v>
      </c>
    </row>
    <row r="13" spans="2:5" x14ac:dyDescent="0.25">
      <c r="B13" s="91"/>
      <c r="C13">
        <v>0.05</v>
      </c>
      <c r="D13" s="2">
        <f>+C12*C13</f>
        <v>150000</v>
      </c>
    </row>
    <row r="14" spans="2:5" x14ac:dyDescent="0.25">
      <c r="D14" s="2"/>
    </row>
    <row r="15" spans="2:5" x14ac:dyDescent="0.25">
      <c r="B15" s="90" t="s">
        <v>56</v>
      </c>
      <c r="C15">
        <v>25</v>
      </c>
      <c r="D15" s="2"/>
    </row>
    <row r="16" spans="2:5" x14ac:dyDescent="0.25">
      <c r="B16" s="91"/>
      <c r="C16" s="43">
        <v>7.7777000000000002E-3</v>
      </c>
      <c r="D16" s="2">
        <f>+D8*C16*C15</f>
        <v>89443.55</v>
      </c>
    </row>
    <row r="17" spans="2:9" ht="15.75" thickBot="1" x14ac:dyDescent="0.3">
      <c r="B17" s="41" t="s">
        <v>57</v>
      </c>
      <c r="C17" s="40"/>
      <c r="D17" s="45">
        <f>+D8+E9+D13+D16</f>
        <v>814443.55</v>
      </c>
    </row>
    <row r="19" spans="2:9" x14ac:dyDescent="0.25">
      <c r="B19" t="s">
        <v>74</v>
      </c>
      <c r="D19" s="2">
        <v>100000</v>
      </c>
      <c r="E19" s="10"/>
      <c r="F19">
        <v>22</v>
      </c>
      <c r="G19" s="50">
        <f>+D19/F19</f>
        <v>4545.454545454545</v>
      </c>
    </row>
    <row r="20" spans="2:9" x14ac:dyDescent="0.25">
      <c r="B20" t="s">
        <v>75</v>
      </c>
      <c r="D20" s="2">
        <v>100000</v>
      </c>
      <c r="F20">
        <v>22</v>
      </c>
      <c r="G20" s="50">
        <f>+D20/F20</f>
        <v>4545.454545454545</v>
      </c>
      <c r="I20" s="2">
        <f>830*2*5*4</f>
        <v>33200</v>
      </c>
    </row>
    <row r="21" spans="2:9" x14ac:dyDescent="0.25">
      <c r="B21" t="s">
        <v>78</v>
      </c>
      <c r="C21">
        <v>3942</v>
      </c>
      <c r="D21" s="2">
        <f>+C21*2</f>
        <v>7884</v>
      </c>
    </row>
    <row r="22" spans="2:9" x14ac:dyDescent="0.25">
      <c r="D22" s="2"/>
    </row>
    <row r="23" spans="2:9" x14ac:dyDescent="0.25">
      <c r="D23" s="2"/>
    </row>
    <row r="24" spans="2:9" ht="15.75" thickBot="1" x14ac:dyDescent="0.3">
      <c r="B24" s="41" t="s">
        <v>73</v>
      </c>
      <c r="C24" s="40"/>
      <c r="D24" s="45">
        <f>SUM(D19:D23)</f>
        <v>207884</v>
      </c>
    </row>
    <row r="26" spans="2:9" x14ac:dyDescent="0.25">
      <c r="B26" s="15" t="s">
        <v>70</v>
      </c>
    </row>
    <row r="27" spans="2:9" x14ac:dyDescent="0.25">
      <c r="B27" t="s">
        <v>60</v>
      </c>
      <c r="C27" s="46">
        <v>0.1144</v>
      </c>
      <c r="E27">
        <f>+$D$17*C27</f>
        <v>93172.342120000001</v>
      </c>
      <c r="G27" s="46"/>
      <c r="H27" s="3"/>
    </row>
    <row r="28" spans="2:9" x14ac:dyDescent="0.25">
      <c r="B28" t="s">
        <v>61</v>
      </c>
      <c r="C28" s="46">
        <v>0</v>
      </c>
      <c r="E28">
        <f t="shared" ref="E28:E29" si="0">+$D$17*C28</f>
        <v>0</v>
      </c>
    </row>
    <row r="29" spans="2:9" x14ac:dyDescent="0.25">
      <c r="B29" t="s">
        <v>69</v>
      </c>
      <c r="C29" s="46">
        <v>6.0000000000000001E-3</v>
      </c>
      <c r="E29">
        <f t="shared" si="0"/>
        <v>4886.6613000000007</v>
      </c>
    </row>
    <row r="30" spans="2:9" x14ac:dyDescent="0.25">
      <c r="B30" s="15" t="s">
        <v>60</v>
      </c>
      <c r="C30" s="48">
        <f>SUM(C27:C29)</f>
        <v>0.12040000000000001</v>
      </c>
      <c r="D30" s="27">
        <f>+D17*C30</f>
        <v>98059.003420000008</v>
      </c>
    </row>
    <row r="31" spans="2:9" x14ac:dyDescent="0.25">
      <c r="B31" t="s">
        <v>64</v>
      </c>
      <c r="C31" s="34">
        <v>7.0000000000000007E-2</v>
      </c>
      <c r="D31" s="2">
        <f>+D17*C31</f>
        <v>57011.048500000012</v>
      </c>
    </row>
    <row r="32" spans="2:9" x14ac:dyDescent="0.25">
      <c r="B32" s="15" t="s">
        <v>70</v>
      </c>
      <c r="C32" s="15"/>
      <c r="D32" s="47">
        <f>+D30+D31</f>
        <v>155070.05192000003</v>
      </c>
    </row>
    <row r="34" spans="2:5" x14ac:dyDescent="0.25">
      <c r="B34" s="15" t="s">
        <v>65</v>
      </c>
    </row>
    <row r="35" spans="2:5" x14ac:dyDescent="0.25">
      <c r="B35" t="s">
        <v>67</v>
      </c>
      <c r="C35" s="3">
        <f>+D17</f>
        <v>814443.55</v>
      </c>
    </row>
    <row r="36" spans="2:5" x14ac:dyDescent="0.25">
      <c r="B36" t="s">
        <v>68</v>
      </c>
      <c r="C36" s="3">
        <f>-D32</f>
        <v>-155070.05192000003</v>
      </c>
    </row>
    <row r="37" spans="2:5" x14ac:dyDescent="0.25">
      <c r="B37" s="15" t="s">
        <v>66</v>
      </c>
      <c r="C37" s="47">
        <f>SUM(C35:C36)</f>
        <v>659373.49808000005</v>
      </c>
    </row>
    <row r="38" spans="2:5" x14ac:dyDescent="0.25">
      <c r="B38" s="15" t="s">
        <v>65</v>
      </c>
      <c r="C38" s="15"/>
      <c r="D38" s="15">
        <v>0</v>
      </c>
    </row>
    <row r="40" spans="2:5" x14ac:dyDescent="0.25">
      <c r="B40" s="15" t="s">
        <v>79</v>
      </c>
    </row>
    <row r="41" spans="2:5" x14ac:dyDescent="0.25">
      <c r="B41" t="s">
        <v>80</v>
      </c>
      <c r="C41" s="2">
        <v>3500</v>
      </c>
    </row>
    <row r="42" spans="2:5" x14ac:dyDescent="0.25">
      <c r="B42" t="s">
        <v>81</v>
      </c>
      <c r="C42" s="2">
        <v>60000</v>
      </c>
    </row>
    <row r="43" spans="2:5" x14ac:dyDescent="0.25">
      <c r="B43" t="s">
        <v>82</v>
      </c>
      <c r="C43" s="2">
        <v>7500</v>
      </c>
    </row>
    <row r="44" spans="2:5" x14ac:dyDescent="0.25">
      <c r="B44" s="15" t="s">
        <v>79</v>
      </c>
      <c r="D44" s="47">
        <f>SUM(C41:C43)</f>
        <v>71000</v>
      </c>
      <c r="E44" s="10">
        <f>+D44/D17</f>
        <v>8.7176084825031766E-2</v>
      </c>
    </row>
    <row r="47" spans="2:5" ht="15.75" thickBot="1" x14ac:dyDescent="0.3">
      <c r="B47" s="28" t="s">
        <v>71</v>
      </c>
      <c r="C47" s="28"/>
      <c r="D47" s="49">
        <f>+D32+D38+D44</f>
        <v>226070.05192000003</v>
      </c>
    </row>
    <row r="48" spans="2:5" ht="15.75" thickTop="1" x14ac:dyDescent="0.25"/>
    <row r="49" spans="2:4" x14ac:dyDescent="0.25">
      <c r="B49" t="s">
        <v>42</v>
      </c>
      <c r="D49" s="3">
        <f>+D17+D24-D47</f>
        <v>796257.49808000005</v>
      </c>
    </row>
    <row r="50" spans="2:4" x14ac:dyDescent="0.25">
      <c r="B50" t="s">
        <v>44</v>
      </c>
      <c r="D50">
        <v>0</v>
      </c>
    </row>
    <row r="51" spans="2:4" ht="15.75" thickBot="1" x14ac:dyDescent="0.3">
      <c r="B51" s="28" t="s">
        <v>72</v>
      </c>
      <c r="C51" s="28"/>
      <c r="D51" s="49">
        <f>+D49-D50</f>
        <v>796257.49808000005</v>
      </c>
    </row>
    <row r="52" spans="2:4" ht="15.75" thickTop="1" x14ac:dyDescent="0.25"/>
  </sheetData>
  <mergeCells count="3">
    <mergeCell ref="B9:B10"/>
    <mergeCell ref="B12:B13"/>
    <mergeCell ref="B15:B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BBF7-BDE9-4BF3-92F6-2F47345AF5E0}">
  <dimension ref="B3:J53"/>
  <sheetViews>
    <sheetView showGridLines="0" workbookViewId="0">
      <selection activeCell="H21" sqref="H21"/>
    </sheetView>
  </sheetViews>
  <sheetFormatPr baseColWidth="10" defaultRowHeight="15" x14ac:dyDescent="0.25"/>
  <cols>
    <col min="2" max="2" width="23.5703125" customWidth="1"/>
    <col min="3" max="3" width="45" customWidth="1"/>
    <col min="4" max="4" width="13.140625" customWidth="1"/>
    <col min="9" max="10" width="20.5703125" customWidth="1"/>
  </cols>
  <sheetData>
    <row r="3" spans="2:5" x14ac:dyDescent="0.25">
      <c r="B3" s="36" t="s">
        <v>51</v>
      </c>
      <c r="C3" s="37">
        <v>30</v>
      </c>
    </row>
    <row r="4" spans="2:5" x14ac:dyDescent="0.25">
      <c r="B4" s="36" t="s">
        <v>58</v>
      </c>
      <c r="C4" s="42" t="s">
        <v>59</v>
      </c>
    </row>
    <row r="5" spans="2:5" x14ac:dyDescent="0.25">
      <c r="B5" s="36" t="s">
        <v>62</v>
      </c>
      <c r="C5" s="42" t="s">
        <v>63</v>
      </c>
    </row>
    <row r="6" spans="2:5" x14ac:dyDescent="0.25">
      <c r="B6" s="36" t="s">
        <v>77</v>
      </c>
      <c r="C6" s="42" t="s">
        <v>76</v>
      </c>
    </row>
    <row r="7" spans="2:5" x14ac:dyDescent="0.25">
      <c r="B7" s="36" t="s">
        <v>83</v>
      </c>
      <c r="C7" s="51" t="s">
        <v>84</v>
      </c>
    </row>
    <row r="9" spans="2:5" x14ac:dyDescent="0.25">
      <c r="B9" s="1" t="s">
        <v>50</v>
      </c>
      <c r="D9" s="2">
        <v>460000</v>
      </c>
    </row>
    <row r="10" spans="2:5" x14ac:dyDescent="0.25">
      <c r="B10" s="90" t="s">
        <v>52</v>
      </c>
      <c r="C10" t="s">
        <v>53</v>
      </c>
      <c r="D10" s="2">
        <f>(460000*4.75)/12</f>
        <v>182083.33333333334</v>
      </c>
      <c r="E10" s="44">
        <f>D9*0.25</f>
        <v>115000</v>
      </c>
    </row>
    <row r="11" spans="2:5" x14ac:dyDescent="0.25">
      <c r="B11" s="91"/>
      <c r="C11" s="38" t="s">
        <v>54</v>
      </c>
      <c r="D11" s="39">
        <v>15000</v>
      </c>
    </row>
    <row r="13" spans="2:5" x14ac:dyDescent="0.25">
      <c r="B13" s="90" t="s">
        <v>55</v>
      </c>
      <c r="C13" s="2">
        <v>3000000</v>
      </c>
    </row>
    <row r="14" spans="2:5" x14ac:dyDescent="0.25">
      <c r="B14" s="91"/>
      <c r="C14">
        <v>0.05</v>
      </c>
      <c r="D14" s="2">
        <f>+C13*C14</f>
        <v>150000</v>
      </c>
    </row>
    <row r="15" spans="2:5" x14ac:dyDescent="0.25">
      <c r="D15" s="2"/>
    </row>
    <row r="16" spans="2:5" x14ac:dyDescent="0.25">
      <c r="B16" s="90" t="s">
        <v>56</v>
      </c>
      <c r="C16">
        <v>25</v>
      </c>
      <c r="D16" s="2"/>
    </row>
    <row r="17" spans="2:10" x14ac:dyDescent="0.25">
      <c r="B17" s="91"/>
      <c r="C17" s="43">
        <v>7.7777000000000002E-3</v>
      </c>
      <c r="D17" s="2">
        <f>+D9*C17*C16</f>
        <v>89443.55</v>
      </c>
    </row>
    <row r="18" spans="2:10" ht="15.75" thickBot="1" x14ac:dyDescent="0.3">
      <c r="B18" s="41" t="s">
        <v>57</v>
      </c>
      <c r="C18" s="40"/>
      <c r="D18" s="45">
        <f>+D9+E10+D14+D17</f>
        <v>814443.55</v>
      </c>
    </row>
    <row r="20" spans="2:10" x14ac:dyDescent="0.25">
      <c r="B20" t="s">
        <v>74</v>
      </c>
      <c r="D20" s="2">
        <v>100000</v>
      </c>
      <c r="E20" s="10"/>
    </row>
    <row r="21" spans="2:10" x14ac:dyDescent="0.25">
      <c r="B21" t="s">
        <v>75</v>
      </c>
      <c r="D21" s="2">
        <v>100000</v>
      </c>
    </row>
    <row r="22" spans="2:10" x14ac:dyDescent="0.25">
      <c r="D22" s="2">
        <f>+C22*2</f>
        <v>0</v>
      </c>
    </row>
    <row r="23" spans="2:10" x14ac:dyDescent="0.25">
      <c r="D23" s="2"/>
    </row>
    <row r="24" spans="2:10" x14ac:dyDescent="0.25">
      <c r="D24" s="2"/>
    </row>
    <row r="25" spans="2:10" ht="15.75" thickBot="1" x14ac:dyDescent="0.3">
      <c r="B25" s="41" t="s">
        <v>73</v>
      </c>
      <c r="C25" s="40"/>
      <c r="D25" s="45">
        <f>SUM(D20:D24)</f>
        <v>200000</v>
      </c>
    </row>
    <row r="27" spans="2:10" x14ac:dyDescent="0.25">
      <c r="B27" s="15" t="s">
        <v>70</v>
      </c>
      <c r="F27" s="92" t="s">
        <v>85</v>
      </c>
      <c r="G27" s="92"/>
      <c r="H27" s="92"/>
    </row>
    <row r="28" spans="2:10" x14ac:dyDescent="0.25">
      <c r="B28" t="s">
        <v>60</v>
      </c>
      <c r="C28" s="52">
        <v>0.1144</v>
      </c>
      <c r="F28" t="s">
        <v>86</v>
      </c>
      <c r="G28" s="46"/>
      <c r="H28" s="3"/>
      <c r="I28" s="61" t="s">
        <v>88</v>
      </c>
      <c r="J28" s="61"/>
    </row>
    <row r="29" spans="2:10" x14ac:dyDescent="0.25">
      <c r="B29" t="s">
        <v>61</v>
      </c>
      <c r="C29" s="46">
        <v>1.49E-2</v>
      </c>
      <c r="F29" t="s">
        <v>87</v>
      </c>
      <c r="I29" s="61" t="s">
        <v>89</v>
      </c>
      <c r="J29" s="61"/>
    </row>
    <row r="30" spans="2:10" x14ac:dyDescent="0.25">
      <c r="B30" t="s">
        <v>69</v>
      </c>
      <c r="C30" s="46">
        <v>6.0000000000000001E-3</v>
      </c>
    </row>
    <row r="31" spans="2:10" x14ac:dyDescent="0.25">
      <c r="B31" s="15" t="s">
        <v>60</v>
      </c>
      <c r="C31" s="48">
        <f>SUM(C28:C30)</f>
        <v>0.1353</v>
      </c>
      <c r="D31" s="27">
        <f>+D18*C31</f>
        <v>110194.21231500001</v>
      </c>
    </row>
    <row r="32" spans="2:10" x14ac:dyDescent="0.25">
      <c r="B32" t="s">
        <v>64</v>
      </c>
      <c r="C32" s="34">
        <v>7.0000000000000007E-2</v>
      </c>
      <c r="D32" s="2">
        <f>+D18*C32</f>
        <v>57011.048500000012</v>
      </c>
    </row>
    <row r="33" spans="2:10" x14ac:dyDescent="0.25">
      <c r="B33" s="15" t="s">
        <v>70</v>
      </c>
      <c r="C33" s="15"/>
      <c r="D33" s="47">
        <f>+D31+D32</f>
        <v>167205.26081500002</v>
      </c>
      <c r="I33">
        <f>+D9*C28</f>
        <v>52624</v>
      </c>
    </row>
    <row r="34" spans="2:10" x14ac:dyDescent="0.25">
      <c r="I34" s="2">
        <f>+I33*12</f>
        <v>631488</v>
      </c>
    </row>
    <row r="35" spans="2:10" x14ac:dyDescent="0.25">
      <c r="B35" s="15" t="s">
        <v>65</v>
      </c>
    </row>
    <row r="36" spans="2:10" x14ac:dyDescent="0.25">
      <c r="B36" t="s">
        <v>67</v>
      </c>
      <c r="C36" s="3">
        <f>+D18</f>
        <v>814443.55</v>
      </c>
      <c r="I36" s="2">
        <v>270000</v>
      </c>
      <c r="J36" s="2">
        <f>+I36+I38</f>
        <v>280524.79999999999</v>
      </c>
    </row>
    <row r="37" spans="2:10" x14ac:dyDescent="0.25">
      <c r="B37" t="s">
        <v>68</v>
      </c>
      <c r="C37" s="3">
        <f>-D33</f>
        <v>-167205.26081500002</v>
      </c>
      <c r="I37">
        <f>+I34/5</f>
        <v>126297.60000000001</v>
      </c>
    </row>
    <row r="38" spans="2:10" x14ac:dyDescent="0.25">
      <c r="B38" s="15" t="s">
        <v>66</v>
      </c>
      <c r="C38" s="47">
        <f>SUM(C36:C37)</f>
        <v>647238.289185</v>
      </c>
      <c r="I38">
        <f>+I37/12</f>
        <v>10524.800000000001</v>
      </c>
    </row>
    <row r="39" spans="2:10" x14ac:dyDescent="0.25">
      <c r="B39" s="15" t="s">
        <v>65</v>
      </c>
      <c r="C39" s="15"/>
      <c r="D39" s="15">
        <v>0</v>
      </c>
    </row>
    <row r="41" spans="2:10" x14ac:dyDescent="0.25">
      <c r="B41" s="15" t="s">
        <v>79</v>
      </c>
    </row>
    <row r="42" spans="2:10" x14ac:dyDescent="0.25">
      <c r="B42" t="s">
        <v>80</v>
      </c>
      <c r="C42" s="2">
        <v>3500</v>
      </c>
    </row>
    <row r="43" spans="2:10" x14ac:dyDescent="0.25">
      <c r="B43" t="s">
        <v>81</v>
      </c>
      <c r="C43" s="2">
        <v>60000</v>
      </c>
    </row>
    <row r="44" spans="2:10" x14ac:dyDescent="0.25">
      <c r="B44" t="s">
        <v>82</v>
      </c>
      <c r="C44" s="2">
        <v>7500</v>
      </c>
    </row>
    <row r="45" spans="2:10" x14ac:dyDescent="0.25">
      <c r="B45" s="15" t="s">
        <v>79</v>
      </c>
      <c r="D45" s="47">
        <f>SUM(C42:C44)</f>
        <v>71000</v>
      </c>
      <c r="E45" s="10">
        <f>+D45/D18</f>
        <v>8.7176084825031766E-2</v>
      </c>
    </row>
    <row r="48" spans="2:10" ht="15.75" thickBot="1" x14ac:dyDescent="0.3">
      <c r="B48" s="28" t="s">
        <v>71</v>
      </c>
      <c r="C48" s="28"/>
      <c r="D48" s="49">
        <f>+D33+D39+D45</f>
        <v>238205.26081500002</v>
      </c>
    </row>
    <row r="49" spans="2:4" ht="15.75" thickTop="1" x14ac:dyDescent="0.25"/>
    <row r="50" spans="2:4" x14ac:dyDescent="0.25">
      <c r="B50" t="s">
        <v>42</v>
      </c>
      <c r="D50" s="3">
        <f>+D18+D25-D48</f>
        <v>776238.289185</v>
      </c>
    </row>
    <row r="51" spans="2:4" x14ac:dyDescent="0.25">
      <c r="B51" t="s">
        <v>44</v>
      </c>
      <c r="D51">
        <v>0</v>
      </c>
    </row>
    <row r="52" spans="2:4" ht="15.75" thickBot="1" x14ac:dyDescent="0.3">
      <c r="B52" s="28" t="s">
        <v>72</v>
      </c>
      <c r="C52" s="28"/>
      <c r="D52" s="49">
        <f>+D50-D51</f>
        <v>776238.289185</v>
      </c>
    </row>
    <row r="53" spans="2:4" ht="15.75" thickTop="1" x14ac:dyDescent="0.25"/>
  </sheetData>
  <mergeCells count="6">
    <mergeCell ref="I29:J29"/>
    <mergeCell ref="B10:B11"/>
    <mergeCell ref="B13:B14"/>
    <mergeCell ref="B16:B17"/>
    <mergeCell ref="F27:H27"/>
    <mergeCell ref="I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D9C7-B9F2-4198-A22F-52BB59C6625A}">
  <dimension ref="B3:J54"/>
  <sheetViews>
    <sheetView showGridLines="0" workbookViewId="0">
      <selection activeCell="G23" sqref="G23"/>
    </sheetView>
  </sheetViews>
  <sheetFormatPr baseColWidth="10" defaultRowHeight="15" x14ac:dyDescent="0.25"/>
  <cols>
    <col min="2" max="2" width="23.5703125" customWidth="1"/>
    <col min="3" max="3" width="45" customWidth="1"/>
    <col min="4" max="4" width="13.140625" customWidth="1"/>
    <col min="9" max="10" width="20.5703125" customWidth="1"/>
  </cols>
  <sheetData>
    <row r="3" spans="2:5" x14ac:dyDescent="0.25">
      <c r="B3" s="36" t="s">
        <v>51</v>
      </c>
      <c r="C3" s="37">
        <v>30</v>
      </c>
    </row>
    <row r="4" spans="2:5" x14ac:dyDescent="0.25">
      <c r="B4" s="36" t="s">
        <v>58</v>
      </c>
      <c r="C4" s="42" t="s">
        <v>59</v>
      </c>
    </row>
    <row r="5" spans="2:5" x14ac:dyDescent="0.25">
      <c r="B5" s="36" t="s">
        <v>62</v>
      </c>
      <c r="C5" s="42" t="s">
        <v>63</v>
      </c>
    </row>
    <row r="6" spans="2:5" x14ac:dyDescent="0.25">
      <c r="B6" s="36" t="s">
        <v>77</v>
      </c>
      <c r="C6" s="42" t="s">
        <v>76</v>
      </c>
    </row>
    <row r="7" spans="2:5" x14ac:dyDescent="0.25">
      <c r="B7" s="36" t="s">
        <v>83</v>
      </c>
      <c r="C7" s="51" t="s">
        <v>90</v>
      </c>
    </row>
    <row r="8" spans="2:5" x14ac:dyDescent="0.25">
      <c r="B8" s="36" t="s">
        <v>91</v>
      </c>
      <c r="C8" s="53">
        <v>1500000</v>
      </c>
    </row>
    <row r="10" spans="2:5" x14ac:dyDescent="0.25">
      <c r="B10" s="1" t="s">
        <v>50</v>
      </c>
      <c r="D10" s="56">
        <v>1475777.2324986367</v>
      </c>
    </row>
    <row r="11" spans="2:5" x14ac:dyDescent="0.25">
      <c r="B11" s="90" t="s">
        <v>52</v>
      </c>
      <c r="C11" t="s">
        <v>53</v>
      </c>
      <c r="D11" s="2">
        <f>(460000*4.75)/12</f>
        <v>182083.33333333334</v>
      </c>
      <c r="E11" s="44">
        <f>D10*0.25</f>
        <v>368944.30812465918</v>
      </c>
    </row>
    <row r="12" spans="2:5" x14ac:dyDescent="0.25">
      <c r="B12" s="91"/>
      <c r="C12" s="38" t="s">
        <v>54</v>
      </c>
      <c r="D12" s="39">
        <v>15000</v>
      </c>
    </row>
    <row r="14" spans="2:5" x14ac:dyDescent="0.25">
      <c r="B14" s="90" t="s">
        <v>55</v>
      </c>
      <c r="C14" s="2">
        <v>3000000</v>
      </c>
    </row>
    <row r="15" spans="2:5" x14ac:dyDescent="0.25">
      <c r="B15" s="91"/>
      <c r="D15" s="2">
        <f>+C14*C15</f>
        <v>0</v>
      </c>
    </row>
    <row r="16" spans="2:5" x14ac:dyDescent="0.25">
      <c r="D16" s="2"/>
    </row>
    <row r="17" spans="2:10" x14ac:dyDescent="0.25">
      <c r="B17" s="90" t="s">
        <v>56</v>
      </c>
      <c r="D17" s="2"/>
    </row>
    <row r="18" spans="2:10" x14ac:dyDescent="0.25">
      <c r="B18" s="91"/>
      <c r="C18" s="43">
        <v>7.7777000000000002E-3</v>
      </c>
      <c r="D18" s="2">
        <f>+D10*C18*C17</f>
        <v>0</v>
      </c>
    </row>
    <row r="19" spans="2:10" ht="15.75" thickBot="1" x14ac:dyDescent="0.3">
      <c r="B19" s="41" t="s">
        <v>57</v>
      </c>
      <c r="C19" s="40"/>
      <c r="D19" s="45">
        <f>+D10+D11+D15+D18</f>
        <v>1657860.56583197</v>
      </c>
    </row>
    <row r="21" spans="2:10" x14ac:dyDescent="0.25">
      <c r="B21" t="s">
        <v>74</v>
      </c>
      <c r="D21" s="2">
        <v>100000</v>
      </c>
      <c r="E21" s="10"/>
    </row>
    <row r="22" spans="2:10" x14ac:dyDescent="0.25">
      <c r="B22" t="s">
        <v>75</v>
      </c>
      <c r="D22" s="2">
        <v>100000</v>
      </c>
    </row>
    <row r="23" spans="2:10" x14ac:dyDescent="0.25">
      <c r="D23" s="2">
        <f>+C23*2</f>
        <v>0</v>
      </c>
    </row>
    <row r="24" spans="2:10" x14ac:dyDescent="0.25">
      <c r="D24" s="2"/>
    </row>
    <row r="25" spans="2:10" x14ac:dyDescent="0.25">
      <c r="D25" s="2"/>
    </row>
    <row r="26" spans="2:10" ht="15.75" thickBot="1" x14ac:dyDescent="0.3">
      <c r="B26" s="41" t="s">
        <v>73</v>
      </c>
      <c r="C26" s="40"/>
      <c r="D26" s="45">
        <f>SUM(D21:D25)</f>
        <v>200000</v>
      </c>
    </row>
    <row r="28" spans="2:10" x14ac:dyDescent="0.25">
      <c r="B28" s="15" t="s">
        <v>70</v>
      </c>
      <c r="F28" s="92" t="s">
        <v>85</v>
      </c>
      <c r="G28" s="92"/>
      <c r="H28" s="92"/>
    </row>
    <row r="29" spans="2:10" x14ac:dyDescent="0.25">
      <c r="B29" t="s">
        <v>60</v>
      </c>
      <c r="C29" s="52">
        <v>0.1144</v>
      </c>
      <c r="F29" t="s">
        <v>86</v>
      </c>
      <c r="G29" s="46"/>
      <c r="H29" s="3"/>
      <c r="I29" s="61" t="s">
        <v>88</v>
      </c>
      <c r="J29" s="61"/>
    </row>
    <row r="30" spans="2:10" x14ac:dyDescent="0.25">
      <c r="B30" t="s">
        <v>61</v>
      </c>
      <c r="C30" s="46">
        <v>1.49E-2</v>
      </c>
      <c r="F30" t="s">
        <v>87</v>
      </c>
      <c r="I30" s="61" t="s">
        <v>89</v>
      </c>
      <c r="J30" s="61"/>
    </row>
    <row r="31" spans="2:10" x14ac:dyDescent="0.25">
      <c r="B31" t="s">
        <v>69</v>
      </c>
      <c r="C31" s="46">
        <v>6.0000000000000001E-3</v>
      </c>
    </row>
    <row r="32" spans="2:10" x14ac:dyDescent="0.25">
      <c r="B32" s="15" t="s">
        <v>60</v>
      </c>
      <c r="C32" s="48">
        <f>SUM(C29:C31)</f>
        <v>0.1353</v>
      </c>
      <c r="D32" s="27">
        <f>+D19*C32</f>
        <v>224308.53455706555</v>
      </c>
    </row>
    <row r="33" spans="2:10" x14ac:dyDescent="0.25">
      <c r="B33" t="s">
        <v>64</v>
      </c>
      <c r="C33" s="34">
        <v>7.0000000000000007E-2</v>
      </c>
      <c r="D33" s="2">
        <f>+D19*C33</f>
        <v>116050.23960823791</v>
      </c>
    </row>
    <row r="34" spans="2:10" x14ac:dyDescent="0.25">
      <c r="B34" s="15" t="s">
        <v>70</v>
      </c>
      <c r="C34" s="15"/>
      <c r="D34" s="47">
        <f>+D32+D33</f>
        <v>340358.77416530345</v>
      </c>
      <c r="I34">
        <f>+D10*C29</f>
        <v>168828.91539784404</v>
      </c>
    </row>
    <row r="35" spans="2:10" x14ac:dyDescent="0.25">
      <c r="I35" s="2">
        <f>+I34*12</f>
        <v>2025946.9847741285</v>
      </c>
    </row>
    <row r="36" spans="2:10" x14ac:dyDescent="0.25">
      <c r="B36" s="15" t="s">
        <v>65</v>
      </c>
    </row>
    <row r="37" spans="2:10" x14ac:dyDescent="0.25">
      <c r="B37" t="s">
        <v>67</v>
      </c>
      <c r="C37" s="3">
        <f>+D19</f>
        <v>1657860.56583197</v>
      </c>
      <c r="I37" s="2">
        <v>270000</v>
      </c>
      <c r="J37" s="2">
        <f>+I37+I39</f>
        <v>303765.78307956882</v>
      </c>
    </row>
    <row r="38" spans="2:10" x14ac:dyDescent="0.25">
      <c r="B38" t="s">
        <v>68</v>
      </c>
      <c r="C38" s="3">
        <f>-D34</f>
        <v>-340358.77416530345</v>
      </c>
      <c r="I38">
        <f>+I35/5</f>
        <v>405189.39695482573</v>
      </c>
    </row>
    <row r="39" spans="2:10" x14ac:dyDescent="0.25">
      <c r="B39" s="15" t="s">
        <v>66</v>
      </c>
      <c r="C39" s="47">
        <f>SUM(C37:C38)</f>
        <v>1317501.7916666665</v>
      </c>
      <c r="I39">
        <f>+I38/12</f>
        <v>33765.783079568813</v>
      </c>
    </row>
    <row r="40" spans="2:10" x14ac:dyDescent="0.25">
      <c r="B40" s="15" t="s">
        <v>65</v>
      </c>
      <c r="C40" s="15">
        <f>+C39*0.04-35198.28</f>
        <v>17501.791666666664</v>
      </c>
      <c r="D40" s="27">
        <f>+C40</f>
        <v>17501.791666666664</v>
      </c>
    </row>
    <row r="42" spans="2:10" x14ac:dyDescent="0.25">
      <c r="B42" s="15" t="s">
        <v>79</v>
      </c>
    </row>
    <row r="43" spans="2:10" x14ac:dyDescent="0.25">
      <c r="B43" t="s">
        <v>80</v>
      </c>
      <c r="C43" s="2">
        <v>0</v>
      </c>
    </row>
    <row r="44" spans="2:10" x14ac:dyDescent="0.25">
      <c r="B44" t="s">
        <v>81</v>
      </c>
      <c r="C44" s="2">
        <v>0</v>
      </c>
    </row>
    <row r="45" spans="2:10" x14ac:dyDescent="0.25">
      <c r="B45" t="s">
        <v>82</v>
      </c>
      <c r="C45" s="2">
        <v>0</v>
      </c>
    </row>
    <row r="46" spans="2:10" x14ac:dyDescent="0.25">
      <c r="B46" s="15" t="s">
        <v>79</v>
      </c>
      <c r="D46" s="47">
        <f>SUM(C43:C45)</f>
        <v>0</v>
      </c>
      <c r="E46" s="10">
        <f>+D46/D19</f>
        <v>0</v>
      </c>
    </row>
    <row r="49" spans="2:4" ht="15.75" thickBot="1" x14ac:dyDescent="0.3">
      <c r="B49" s="28" t="s">
        <v>71</v>
      </c>
      <c r="C49" s="28"/>
      <c r="D49" s="49">
        <f>+D34+D40+D46</f>
        <v>357860.56583197013</v>
      </c>
    </row>
    <row r="50" spans="2:4" ht="15.75" thickTop="1" x14ac:dyDescent="0.25"/>
    <row r="51" spans="2:4" x14ac:dyDescent="0.25">
      <c r="B51" t="s">
        <v>42</v>
      </c>
      <c r="D51" s="3">
        <f>+D19+D26-D49</f>
        <v>1499999.9999999998</v>
      </c>
    </row>
    <row r="52" spans="2:4" x14ac:dyDescent="0.25">
      <c r="B52" t="s">
        <v>44</v>
      </c>
      <c r="D52">
        <v>0</v>
      </c>
    </row>
    <row r="53" spans="2:4" ht="15.75" thickBot="1" x14ac:dyDescent="0.3">
      <c r="B53" s="54" t="s">
        <v>72</v>
      </c>
      <c r="C53" s="54"/>
      <c r="D53" s="55">
        <f>+D51-D52</f>
        <v>1499999.9999999998</v>
      </c>
    </row>
    <row r="54" spans="2:4" ht="15.75" thickTop="1" x14ac:dyDescent="0.25"/>
  </sheetData>
  <mergeCells count="6">
    <mergeCell ref="I30:J30"/>
    <mergeCell ref="B11:B12"/>
    <mergeCell ref="B14:B15"/>
    <mergeCell ref="B17:B18"/>
    <mergeCell ref="F28:H28"/>
    <mergeCell ref="I29:J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863C-3BAD-4D6B-B976-7548519F60E3}">
  <sheetPr>
    <tabColor rgb="FFFF0000"/>
  </sheetPr>
  <dimension ref="B3:I52"/>
  <sheetViews>
    <sheetView showGridLines="0" topLeftCell="A21" workbookViewId="0">
      <selection activeCell="F52" sqref="F52"/>
    </sheetView>
  </sheetViews>
  <sheetFormatPr baseColWidth="10" defaultRowHeight="15" x14ac:dyDescent="0.25"/>
  <cols>
    <col min="2" max="2" width="23.5703125" customWidth="1"/>
    <col min="3" max="3" width="45" customWidth="1"/>
    <col min="4" max="4" width="13.140625" customWidth="1"/>
  </cols>
  <sheetData>
    <row r="3" spans="2:5" x14ac:dyDescent="0.25">
      <c r="B3" s="36" t="s">
        <v>51</v>
      </c>
      <c r="C3" s="37">
        <v>30</v>
      </c>
    </row>
    <row r="4" spans="2:5" x14ac:dyDescent="0.25">
      <c r="B4" s="36" t="s">
        <v>58</v>
      </c>
      <c r="C4" s="42" t="s">
        <v>59</v>
      </c>
    </row>
    <row r="5" spans="2:5" x14ac:dyDescent="0.25">
      <c r="B5" s="36" t="s">
        <v>62</v>
      </c>
      <c r="C5" s="42" t="s">
        <v>63</v>
      </c>
    </row>
    <row r="6" spans="2:5" x14ac:dyDescent="0.25">
      <c r="B6" s="36" t="s">
        <v>77</v>
      </c>
      <c r="C6" s="42" t="s">
        <v>76</v>
      </c>
    </row>
    <row r="8" spans="2:5" x14ac:dyDescent="0.25">
      <c r="B8" s="1" t="s">
        <v>50</v>
      </c>
      <c r="D8" s="2">
        <v>460000</v>
      </c>
    </row>
    <row r="9" spans="2:5" x14ac:dyDescent="0.25">
      <c r="B9" s="90" t="s">
        <v>52</v>
      </c>
      <c r="C9" t="s">
        <v>53</v>
      </c>
      <c r="D9" s="2">
        <f>(460000*4.75)/12</f>
        <v>182083.33333333334</v>
      </c>
      <c r="E9" s="44">
        <f>D8*0.25</f>
        <v>115000</v>
      </c>
    </row>
    <row r="10" spans="2:5" x14ac:dyDescent="0.25">
      <c r="B10" s="91"/>
      <c r="C10" s="38" t="s">
        <v>54</v>
      </c>
      <c r="D10" s="39">
        <v>15000</v>
      </c>
    </row>
    <row r="12" spans="2:5" x14ac:dyDescent="0.25">
      <c r="B12" s="90" t="s">
        <v>55</v>
      </c>
      <c r="C12" s="2">
        <v>3000000</v>
      </c>
    </row>
    <row r="13" spans="2:5" x14ac:dyDescent="0.25">
      <c r="B13" s="91"/>
      <c r="D13" s="2">
        <f>+C12*C13</f>
        <v>0</v>
      </c>
    </row>
    <row r="14" spans="2:5" x14ac:dyDescent="0.25">
      <c r="D14" s="2"/>
    </row>
    <row r="15" spans="2:5" x14ac:dyDescent="0.25">
      <c r="B15" s="90" t="s">
        <v>56</v>
      </c>
      <c r="D15" s="2"/>
    </row>
    <row r="16" spans="2:5" x14ac:dyDescent="0.25">
      <c r="B16" s="91"/>
      <c r="C16" s="43">
        <v>7.7777000000000002E-3</v>
      </c>
      <c r="D16" s="2">
        <f>+D8*C16*C15</f>
        <v>0</v>
      </c>
    </row>
    <row r="17" spans="2:9" ht="15.75" thickBot="1" x14ac:dyDescent="0.3">
      <c r="B17" s="41" t="s">
        <v>57</v>
      </c>
      <c r="C17" s="40"/>
      <c r="D17" s="45">
        <f>+D8+E9+D13+D16</f>
        <v>575000</v>
      </c>
    </row>
    <row r="19" spans="2:9" x14ac:dyDescent="0.25">
      <c r="B19" t="s">
        <v>74</v>
      </c>
      <c r="D19" s="2">
        <v>100000</v>
      </c>
      <c r="E19" s="10"/>
      <c r="F19">
        <v>22</v>
      </c>
      <c r="G19" s="50">
        <f>+D19/F19</f>
        <v>4545.454545454545</v>
      </c>
    </row>
    <row r="20" spans="2:9" x14ac:dyDescent="0.25">
      <c r="B20" t="s">
        <v>75</v>
      </c>
      <c r="D20" s="2">
        <v>100000</v>
      </c>
      <c r="F20">
        <v>22</v>
      </c>
      <c r="G20" s="50">
        <f>+D20/F20</f>
        <v>4545.454545454545</v>
      </c>
      <c r="I20" s="2">
        <f>830*2*5*4</f>
        <v>33200</v>
      </c>
    </row>
    <row r="21" spans="2:9" x14ac:dyDescent="0.25">
      <c r="B21" t="s">
        <v>78</v>
      </c>
      <c r="D21" s="2">
        <f>+C21*2</f>
        <v>0</v>
      </c>
    </row>
    <row r="22" spans="2:9" x14ac:dyDescent="0.25">
      <c r="D22" s="2"/>
    </row>
    <row r="23" spans="2:9" x14ac:dyDescent="0.25">
      <c r="D23" s="2"/>
    </row>
    <row r="24" spans="2:9" ht="15.75" thickBot="1" x14ac:dyDescent="0.3">
      <c r="B24" s="41" t="s">
        <v>73</v>
      </c>
      <c r="C24" s="40"/>
      <c r="D24" s="45">
        <f>SUM(D19:D23)</f>
        <v>200000</v>
      </c>
    </row>
    <row r="26" spans="2:9" x14ac:dyDescent="0.25">
      <c r="B26" s="15" t="s">
        <v>70</v>
      </c>
    </row>
    <row r="27" spans="2:9" x14ac:dyDescent="0.25">
      <c r="B27" t="s">
        <v>60</v>
      </c>
      <c r="C27" s="46">
        <v>0.1144</v>
      </c>
      <c r="E27">
        <f>+$D$17*C27</f>
        <v>65780</v>
      </c>
      <c r="G27" s="46"/>
      <c r="H27" s="3"/>
    </row>
    <row r="28" spans="2:9" x14ac:dyDescent="0.25">
      <c r="B28" t="s">
        <v>61</v>
      </c>
      <c r="C28" s="46">
        <v>0</v>
      </c>
      <c r="E28">
        <f t="shared" ref="E28:E29" si="0">+$D$17*C28</f>
        <v>0</v>
      </c>
    </row>
    <row r="29" spans="2:9" x14ac:dyDescent="0.25">
      <c r="B29" t="s">
        <v>69</v>
      </c>
      <c r="C29" s="46">
        <v>6.0000000000000001E-3</v>
      </c>
      <c r="E29">
        <f t="shared" si="0"/>
        <v>3450</v>
      </c>
    </row>
    <row r="30" spans="2:9" x14ac:dyDescent="0.25">
      <c r="B30" s="15" t="s">
        <v>60</v>
      </c>
      <c r="C30" s="48">
        <f>SUM(C27:C29)</f>
        <v>0.12040000000000001</v>
      </c>
      <c r="D30" s="27">
        <f>+D17*C30</f>
        <v>69230</v>
      </c>
    </row>
    <row r="31" spans="2:9" x14ac:dyDescent="0.25">
      <c r="B31" t="s">
        <v>64</v>
      </c>
      <c r="C31" s="34">
        <v>7.0000000000000007E-2</v>
      </c>
      <c r="D31" s="2">
        <f>+D17*C31</f>
        <v>40250.000000000007</v>
      </c>
    </row>
    <row r="32" spans="2:9" x14ac:dyDescent="0.25">
      <c r="B32" s="15" t="s">
        <v>70</v>
      </c>
      <c r="C32" s="15"/>
      <c r="D32" s="47">
        <f>+D30+D31</f>
        <v>109480</v>
      </c>
    </row>
    <row r="34" spans="2:5" x14ac:dyDescent="0.25">
      <c r="B34" s="15" t="s">
        <v>65</v>
      </c>
    </row>
    <row r="35" spans="2:5" x14ac:dyDescent="0.25">
      <c r="B35" t="s">
        <v>67</v>
      </c>
      <c r="C35" s="3">
        <f>+D17</f>
        <v>575000</v>
      </c>
    </row>
    <row r="36" spans="2:5" x14ac:dyDescent="0.25">
      <c r="B36" t="s">
        <v>68</v>
      </c>
      <c r="C36" s="3">
        <f>-D32</f>
        <v>-109480</v>
      </c>
    </row>
    <row r="37" spans="2:5" x14ac:dyDescent="0.25">
      <c r="B37" s="15" t="s">
        <v>66</v>
      </c>
      <c r="C37" s="47">
        <f>SUM(C35:C36)</f>
        <v>465520</v>
      </c>
    </row>
    <row r="38" spans="2:5" x14ac:dyDescent="0.25">
      <c r="B38" s="15" t="s">
        <v>65</v>
      </c>
      <c r="C38" s="15"/>
      <c r="D38" s="15">
        <v>0</v>
      </c>
    </row>
    <row r="40" spans="2:5" x14ac:dyDescent="0.25">
      <c r="B40" s="15" t="s">
        <v>79</v>
      </c>
    </row>
    <row r="41" spans="2:5" x14ac:dyDescent="0.25">
      <c r="B41" t="s">
        <v>80</v>
      </c>
      <c r="C41" s="2"/>
    </row>
    <row r="42" spans="2:5" x14ac:dyDescent="0.25">
      <c r="B42" t="s">
        <v>81</v>
      </c>
      <c r="C42" s="2"/>
    </row>
    <row r="43" spans="2:5" x14ac:dyDescent="0.25">
      <c r="B43" t="s">
        <v>82</v>
      </c>
      <c r="C43" s="2"/>
    </row>
    <row r="44" spans="2:5" x14ac:dyDescent="0.25">
      <c r="B44" s="15" t="s">
        <v>79</v>
      </c>
      <c r="D44" s="47">
        <f>SUM(C41:C43)</f>
        <v>0</v>
      </c>
      <c r="E44" s="10">
        <f>+D44/D17</f>
        <v>0</v>
      </c>
    </row>
    <row r="47" spans="2:5" ht="15.75" thickBot="1" x14ac:dyDescent="0.3">
      <c r="B47" s="28" t="s">
        <v>71</v>
      </c>
      <c r="C47" s="28"/>
      <c r="D47" s="49">
        <f>+D32+D38+D44</f>
        <v>109480</v>
      </c>
    </row>
    <row r="48" spans="2:5" ht="15.75" thickTop="1" x14ac:dyDescent="0.25"/>
    <row r="49" spans="2:4" x14ac:dyDescent="0.25">
      <c r="B49" t="s">
        <v>42</v>
      </c>
      <c r="D49" s="3">
        <f>+D17+D24-D47</f>
        <v>665520</v>
      </c>
    </row>
    <row r="50" spans="2:4" x14ac:dyDescent="0.25">
      <c r="B50" t="s">
        <v>44</v>
      </c>
      <c r="D50">
        <v>0</v>
      </c>
    </row>
    <row r="51" spans="2:4" ht="15.75" thickBot="1" x14ac:dyDescent="0.3">
      <c r="B51" s="28" t="s">
        <v>72</v>
      </c>
      <c r="C51" s="28"/>
      <c r="D51" s="49">
        <f>+D49-D50</f>
        <v>665520</v>
      </c>
    </row>
    <row r="52" spans="2:4" ht="15.75" thickTop="1" x14ac:dyDescent="0.25"/>
  </sheetData>
  <mergeCells count="3">
    <mergeCell ref="B9:B10"/>
    <mergeCell ref="B12:B13"/>
    <mergeCell ref="B15:B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74CDA-2650-4D36-8611-92B62B1C1973}">
  <sheetPr>
    <tabColor rgb="FFFF0000"/>
  </sheetPr>
  <dimension ref="B3:I54"/>
  <sheetViews>
    <sheetView showGridLines="0" topLeftCell="A7" workbookViewId="0">
      <selection activeCell="E42" sqref="E42"/>
    </sheetView>
  </sheetViews>
  <sheetFormatPr baseColWidth="10" defaultRowHeight="15" x14ac:dyDescent="0.25"/>
  <cols>
    <col min="2" max="2" width="23.5703125" customWidth="1"/>
    <col min="3" max="3" width="45" customWidth="1"/>
    <col min="4" max="4" width="13.140625" customWidth="1"/>
  </cols>
  <sheetData>
    <row r="3" spans="2:8" x14ac:dyDescent="0.25">
      <c r="H3">
        <v>30</v>
      </c>
    </row>
    <row r="4" spans="2:8" x14ac:dyDescent="0.25">
      <c r="B4" s="36" t="s">
        <v>92</v>
      </c>
      <c r="C4" s="57">
        <v>45397</v>
      </c>
      <c r="H4">
        <v>-21</v>
      </c>
    </row>
    <row r="5" spans="2:8" x14ac:dyDescent="0.25">
      <c r="B5" s="36" t="s">
        <v>51</v>
      </c>
      <c r="C5" s="37" t="s">
        <v>93</v>
      </c>
      <c r="H5" s="58">
        <f>SUM(H3:H4)</f>
        <v>9</v>
      </c>
    </row>
    <row r="6" spans="2:8" x14ac:dyDescent="0.25">
      <c r="B6" s="36" t="s">
        <v>58</v>
      </c>
      <c r="C6" s="42" t="s">
        <v>59</v>
      </c>
    </row>
    <row r="7" spans="2:8" x14ac:dyDescent="0.25">
      <c r="B7" s="36" t="s">
        <v>62</v>
      </c>
      <c r="C7" s="42" t="s">
        <v>63</v>
      </c>
    </row>
    <row r="8" spans="2:8" x14ac:dyDescent="0.25">
      <c r="B8" s="36" t="s">
        <v>77</v>
      </c>
      <c r="C8" s="42" t="s">
        <v>76</v>
      </c>
    </row>
    <row r="10" spans="2:8" x14ac:dyDescent="0.25">
      <c r="B10" s="1" t="s">
        <v>50</v>
      </c>
      <c r="D10" s="2">
        <f>460000/30*H5</f>
        <v>138000</v>
      </c>
    </row>
    <row r="11" spans="2:8" x14ac:dyDescent="0.25">
      <c r="B11" s="90" t="s">
        <v>52</v>
      </c>
      <c r="C11" t="s">
        <v>53</v>
      </c>
      <c r="D11" s="2">
        <f>(460000*4.75)/12</f>
        <v>182083.33333333334</v>
      </c>
      <c r="E11" s="44">
        <f>D10*0.25</f>
        <v>34500</v>
      </c>
    </row>
    <row r="12" spans="2:8" x14ac:dyDescent="0.25">
      <c r="B12" s="91"/>
      <c r="C12" s="38" t="s">
        <v>54</v>
      </c>
      <c r="D12" s="39">
        <v>15000</v>
      </c>
    </row>
    <row r="14" spans="2:8" x14ac:dyDescent="0.25">
      <c r="B14" s="90" t="s">
        <v>55</v>
      </c>
      <c r="C14" s="2">
        <v>3000000</v>
      </c>
    </row>
    <row r="15" spans="2:8" x14ac:dyDescent="0.25">
      <c r="B15" s="91"/>
      <c r="D15" s="2">
        <f>+C14*C15</f>
        <v>0</v>
      </c>
    </row>
    <row r="16" spans="2:8" x14ac:dyDescent="0.25">
      <c r="D16" s="2"/>
    </row>
    <row r="17" spans="2:9" x14ac:dyDescent="0.25">
      <c r="B17" s="90" t="s">
        <v>56</v>
      </c>
      <c r="D17" s="2"/>
    </row>
    <row r="18" spans="2:9" x14ac:dyDescent="0.25">
      <c r="B18" s="91"/>
      <c r="C18" s="43">
        <v>7.7777000000000002E-3</v>
      </c>
      <c r="D18" s="2">
        <f>+D10*C18*C17</f>
        <v>0</v>
      </c>
    </row>
    <row r="19" spans="2:9" ht="15.75" thickBot="1" x14ac:dyDescent="0.3">
      <c r="B19" s="41" t="s">
        <v>57</v>
      </c>
      <c r="C19" s="40"/>
      <c r="D19" s="45">
        <f>+D10+E11+D15+D18</f>
        <v>172500</v>
      </c>
    </row>
    <row r="21" spans="2:9" x14ac:dyDescent="0.25">
      <c r="B21" t="s">
        <v>74</v>
      </c>
      <c r="D21" s="2">
        <f>100000/30*H5</f>
        <v>30000</v>
      </c>
      <c r="E21" s="10"/>
      <c r="F21">
        <v>22</v>
      </c>
      <c r="G21" s="50">
        <f>+D21/F21</f>
        <v>1363.6363636363637</v>
      </c>
    </row>
    <row r="22" spans="2:9" x14ac:dyDescent="0.25">
      <c r="B22" t="s">
        <v>75</v>
      </c>
      <c r="D22" s="2">
        <f>100000/30*H5</f>
        <v>30000</v>
      </c>
      <c r="F22">
        <v>22</v>
      </c>
      <c r="G22" s="50">
        <f>+D22/F22</f>
        <v>1363.6363636363637</v>
      </c>
      <c r="I22" s="2">
        <f>830*2*5*4</f>
        <v>33200</v>
      </c>
    </row>
    <row r="23" spans="2:9" x14ac:dyDescent="0.25">
      <c r="B23" t="s">
        <v>78</v>
      </c>
      <c r="D23" s="2">
        <f>+C23*2</f>
        <v>0</v>
      </c>
    </row>
    <row r="24" spans="2:9" x14ac:dyDescent="0.25">
      <c r="D24" s="2"/>
    </row>
    <row r="25" spans="2:9" x14ac:dyDescent="0.25">
      <c r="D25" s="2"/>
    </row>
    <row r="26" spans="2:9" ht="15.75" thickBot="1" x14ac:dyDescent="0.3">
      <c r="B26" s="41" t="s">
        <v>73</v>
      </c>
      <c r="C26" s="40"/>
      <c r="D26" s="45">
        <f>SUM(D21:D25)</f>
        <v>60000</v>
      </c>
    </row>
    <row r="28" spans="2:9" x14ac:dyDescent="0.25">
      <c r="B28" s="15" t="s">
        <v>70</v>
      </c>
    </row>
    <row r="29" spans="2:9" x14ac:dyDescent="0.25">
      <c r="B29" t="s">
        <v>60</v>
      </c>
      <c r="C29" s="46">
        <v>0.1144</v>
      </c>
      <c r="E29" s="2">
        <f>+$D$19*C29</f>
        <v>19734</v>
      </c>
      <c r="G29" s="46"/>
      <c r="H29" s="3"/>
    </row>
    <row r="30" spans="2:9" x14ac:dyDescent="0.25">
      <c r="B30" t="s">
        <v>61</v>
      </c>
      <c r="C30" s="46">
        <v>0</v>
      </c>
      <c r="E30" s="2">
        <f t="shared" ref="E30:E31" si="0">+$D$19*C30</f>
        <v>0</v>
      </c>
    </row>
    <row r="31" spans="2:9" x14ac:dyDescent="0.25">
      <c r="B31" t="s">
        <v>69</v>
      </c>
      <c r="C31" s="46">
        <v>6.0000000000000001E-3</v>
      </c>
      <c r="E31" s="2">
        <f t="shared" si="0"/>
        <v>1035</v>
      </c>
    </row>
    <row r="32" spans="2:9" x14ac:dyDescent="0.25">
      <c r="B32" s="15" t="s">
        <v>60</v>
      </c>
      <c r="C32" s="48">
        <f>SUM(C29:C31)</f>
        <v>0.12040000000000001</v>
      </c>
      <c r="D32" s="27">
        <f>+D19*C32</f>
        <v>20769</v>
      </c>
    </row>
    <row r="33" spans="2:5" x14ac:dyDescent="0.25">
      <c r="B33" t="s">
        <v>64</v>
      </c>
      <c r="C33" s="34">
        <v>7.0000000000000007E-2</v>
      </c>
      <c r="D33" s="2">
        <f>+D19*C33</f>
        <v>12075.000000000002</v>
      </c>
    </row>
    <row r="34" spans="2:5" x14ac:dyDescent="0.25">
      <c r="B34" s="15" t="s">
        <v>70</v>
      </c>
      <c r="C34" s="15"/>
      <c r="D34" s="47">
        <f>+D32+D33</f>
        <v>32844</v>
      </c>
    </row>
    <row r="36" spans="2:5" x14ac:dyDescent="0.25">
      <c r="B36" s="15" t="s">
        <v>65</v>
      </c>
    </row>
    <row r="37" spans="2:5" x14ac:dyDescent="0.25">
      <c r="B37" t="s">
        <v>67</v>
      </c>
      <c r="C37" s="3">
        <f>+D19</f>
        <v>172500</v>
      </c>
    </row>
    <row r="38" spans="2:5" x14ac:dyDescent="0.25">
      <c r="B38" t="s">
        <v>68</v>
      </c>
      <c r="C38" s="3">
        <f>-D34</f>
        <v>-32844</v>
      </c>
    </row>
    <row r="39" spans="2:5" x14ac:dyDescent="0.25">
      <c r="B39" s="15" t="s">
        <v>66</v>
      </c>
      <c r="C39" s="47">
        <f>SUM(C37:C38)</f>
        <v>139656</v>
      </c>
    </row>
    <row r="40" spans="2:5" x14ac:dyDescent="0.25">
      <c r="B40" s="15" t="s">
        <v>65</v>
      </c>
      <c r="C40" s="15"/>
      <c r="D40" s="15">
        <v>0</v>
      </c>
    </row>
    <row r="42" spans="2:5" x14ac:dyDescent="0.25">
      <c r="B42" s="15" t="s">
        <v>79</v>
      </c>
    </row>
    <row r="43" spans="2:5" x14ac:dyDescent="0.25">
      <c r="B43" t="s">
        <v>80</v>
      </c>
      <c r="C43" s="2"/>
    </row>
    <row r="44" spans="2:5" x14ac:dyDescent="0.25">
      <c r="B44" t="s">
        <v>81</v>
      </c>
      <c r="C44" s="2"/>
    </row>
    <row r="45" spans="2:5" x14ac:dyDescent="0.25">
      <c r="B45" t="s">
        <v>82</v>
      </c>
      <c r="C45" s="2"/>
    </row>
    <row r="46" spans="2:5" x14ac:dyDescent="0.25">
      <c r="B46" s="15" t="s">
        <v>79</v>
      </c>
      <c r="D46" s="47">
        <f>SUM(C43:C45)</f>
        <v>0</v>
      </c>
      <c r="E46" s="10">
        <f>+D46/D19</f>
        <v>0</v>
      </c>
    </row>
    <row r="49" spans="2:4" ht="15.75" thickBot="1" x14ac:dyDescent="0.3">
      <c r="B49" s="28" t="s">
        <v>71</v>
      </c>
      <c r="C49" s="28"/>
      <c r="D49" s="49">
        <f>+D34+D40+D46</f>
        <v>32844</v>
      </c>
    </row>
    <row r="50" spans="2:4" ht="15.75" thickTop="1" x14ac:dyDescent="0.25"/>
    <row r="51" spans="2:4" x14ac:dyDescent="0.25">
      <c r="B51" t="s">
        <v>42</v>
      </c>
      <c r="D51" s="3">
        <f>+D19+D26-D49</f>
        <v>199656</v>
      </c>
    </row>
    <row r="52" spans="2:4" x14ac:dyDescent="0.25">
      <c r="B52" t="s">
        <v>44</v>
      </c>
      <c r="D52">
        <v>0</v>
      </c>
    </row>
    <row r="53" spans="2:4" ht="15.75" thickBot="1" x14ac:dyDescent="0.3">
      <c r="B53" s="28" t="s">
        <v>72</v>
      </c>
      <c r="C53" s="28"/>
      <c r="D53" s="49">
        <f>+D51-D52</f>
        <v>199656</v>
      </c>
    </row>
    <row r="54" spans="2:4" ht="15.75" thickTop="1" x14ac:dyDescent="0.25"/>
  </sheetData>
  <mergeCells count="3">
    <mergeCell ref="B11:B12"/>
    <mergeCell ref="B14:B15"/>
    <mergeCell ref="B17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Ciclo</vt:lpstr>
      <vt:lpstr>LIQ. TEORICA</vt:lpstr>
      <vt:lpstr>calculo 1</vt:lpstr>
      <vt:lpstr>calculo 2</vt:lpstr>
      <vt:lpstr>calculo 3</vt:lpstr>
      <vt:lpstr>calculo 4</vt:lpstr>
      <vt:lpstr>calculo Proporcional</vt:lpstr>
      <vt:lpstr>'LIQ. TEORICA'!Área_de_impresión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cp:lastPrinted>2024-04-18T01:35:40Z</cp:lastPrinted>
  <dcterms:created xsi:type="dcterms:W3CDTF">2024-04-08T23:49:04Z</dcterms:created>
  <dcterms:modified xsi:type="dcterms:W3CDTF">2024-04-19T21:14:55Z</dcterms:modified>
</cp:coreProperties>
</file>