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Legislación Laboral/"/>
    </mc:Choice>
  </mc:AlternateContent>
  <xr:revisionPtr revIDLastSave="1393" documentId="8_{D192970B-E9C5-45A9-B551-82024879612E}" xr6:coauthVersionLast="47" xr6:coauthVersionMax="47" xr10:uidLastSave="{399768BD-3E29-4F66-A817-3D4573288C64}"/>
  <bookViews>
    <workbookView xWindow="-120" yWindow="-120" windowWidth="29040" windowHeight="15720" activeTab="4" xr2:uid="{C5C75381-971D-45EA-B2C8-7C786557459E}"/>
  </bookViews>
  <sheets>
    <sheet name="Calculos" sheetId="14" r:id="rId1"/>
    <sheet name="Calculos  Nec Empresa" sheetId="15" r:id="rId2"/>
    <sheet name="Calculos  Nec Empresa (2)" sheetId="18" r:id="rId3"/>
    <sheet name="Calculos  Renucia" sheetId="16" r:id="rId4"/>
    <sheet name="Art 160" sheetId="1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8" l="1"/>
  <c r="D50" i="18"/>
  <c r="E50" i="18" s="1"/>
  <c r="C36" i="18"/>
  <c r="J28" i="18"/>
  <c r="D27" i="18"/>
  <c r="D30" i="18" s="1"/>
  <c r="G22" i="18"/>
  <c r="G23" i="18" s="1"/>
  <c r="G24" i="18" s="1"/>
  <c r="K32" i="18" s="1"/>
  <c r="D22" i="18"/>
  <c r="D19" i="18"/>
  <c r="G18" i="18"/>
  <c r="D15" i="18"/>
  <c r="D23" i="18" s="1"/>
  <c r="G14" i="18"/>
  <c r="G15" i="18" s="1"/>
  <c r="G13" i="18"/>
  <c r="G12" i="18"/>
  <c r="G11" i="18"/>
  <c r="F3" i="18"/>
  <c r="G3" i="18" s="1"/>
  <c r="D50" i="17"/>
  <c r="C36" i="17"/>
  <c r="J28" i="17"/>
  <c r="D27" i="17"/>
  <c r="D30" i="17" s="1"/>
  <c r="G23" i="17"/>
  <c r="G24" i="17" s="1"/>
  <c r="K32" i="17" s="1"/>
  <c r="G22" i="17"/>
  <c r="D22" i="17"/>
  <c r="D19" i="17"/>
  <c r="G18" i="17"/>
  <c r="K15" i="17"/>
  <c r="K17" i="17" s="1"/>
  <c r="D15" i="17"/>
  <c r="D23" i="17" s="1"/>
  <c r="G14" i="17"/>
  <c r="G13" i="17"/>
  <c r="G12" i="17"/>
  <c r="G15" i="17" s="1"/>
  <c r="G11" i="17"/>
  <c r="F3" i="17"/>
  <c r="G3" i="17" s="1"/>
  <c r="D50" i="16"/>
  <c r="C36" i="16"/>
  <c r="J28" i="16"/>
  <c r="D27" i="16"/>
  <c r="D30" i="16" s="1"/>
  <c r="G22" i="16"/>
  <c r="G23" i="16" s="1"/>
  <c r="G24" i="16" s="1"/>
  <c r="K32" i="16" s="1"/>
  <c r="D22" i="16"/>
  <c r="D19" i="16"/>
  <c r="G18" i="16"/>
  <c r="D15" i="16"/>
  <c r="D23" i="16" s="1"/>
  <c r="G14" i="16"/>
  <c r="G15" i="16" s="1"/>
  <c r="G13" i="16"/>
  <c r="G12" i="16"/>
  <c r="G11" i="16"/>
  <c r="F3" i="16"/>
  <c r="G3" i="16" s="1"/>
  <c r="K33" i="15"/>
  <c r="K36" i="15" s="1"/>
  <c r="J28" i="15"/>
  <c r="K32" i="15"/>
  <c r="K31" i="15"/>
  <c r="K17" i="15"/>
  <c r="K15" i="15"/>
  <c r="K13" i="15"/>
  <c r="G23" i="15"/>
  <c r="G22" i="15"/>
  <c r="G18" i="15"/>
  <c r="G24" i="15" s="1"/>
  <c r="G14" i="15"/>
  <c r="G13" i="15"/>
  <c r="G12" i="15"/>
  <c r="G15" i="15" s="1"/>
  <c r="G11" i="15"/>
  <c r="F3" i="15"/>
  <c r="G3" i="15" s="1"/>
  <c r="D50" i="15"/>
  <c r="C36" i="15"/>
  <c r="D27" i="15"/>
  <c r="D30" i="15" s="1"/>
  <c r="D22" i="15"/>
  <c r="D19" i="15"/>
  <c r="D15" i="15"/>
  <c r="D36" i="18" l="1"/>
  <c r="D38" i="18" s="1"/>
  <c r="E35" i="18"/>
  <c r="E34" i="18"/>
  <c r="D37" i="18"/>
  <c r="C41" i="18"/>
  <c r="D31" i="18"/>
  <c r="K13" i="18" s="1"/>
  <c r="K15" i="18" s="1"/>
  <c r="K17" i="18" s="1"/>
  <c r="K33" i="18" s="1"/>
  <c r="E37" i="18"/>
  <c r="D36" i="17"/>
  <c r="D38" i="17" s="1"/>
  <c r="C41" i="17"/>
  <c r="E35" i="17"/>
  <c r="E34" i="17"/>
  <c r="D37" i="17"/>
  <c r="D31" i="17"/>
  <c r="E37" i="17"/>
  <c r="E50" i="17"/>
  <c r="D36" i="16"/>
  <c r="D38" i="16" s="1"/>
  <c r="D37" i="16"/>
  <c r="E35" i="16"/>
  <c r="E34" i="16"/>
  <c r="C41" i="16"/>
  <c r="D31" i="16"/>
  <c r="K15" i="16" s="1"/>
  <c r="K17" i="16" s="1"/>
  <c r="E37" i="16"/>
  <c r="E50" i="16"/>
  <c r="D23" i="15"/>
  <c r="E35" i="15" s="1"/>
  <c r="C43" i="18" l="1"/>
  <c r="D53" i="18"/>
  <c r="D55" i="18" s="1"/>
  <c r="D57" i="18" s="1"/>
  <c r="K31" i="18" s="1"/>
  <c r="K36" i="18" s="1"/>
  <c r="C42" i="18"/>
  <c r="D53" i="17"/>
  <c r="D55" i="17" s="1"/>
  <c r="D57" i="17" s="1"/>
  <c r="K31" i="17" s="1"/>
  <c r="K36" i="17" s="1"/>
  <c r="C42" i="17"/>
  <c r="C43" i="17"/>
  <c r="D53" i="16"/>
  <c r="D55" i="16" s="1"/>
  <c r="D57" i="16" s="1"/>
  <c r="K31" i="16" s="1"/>
  <c r="K36" i="16" s="1"/>
  <c r="C42" i="16"/>
  <c r="C43" i="16" s="1"/>
  <c r="D36" i="15"/>
  <c r="C41" i="15"/>
  <c r="E34" i="15"/>
  <c r="D37" i="15"/>
  <c r="E50" i="15"/>
  <c r="E37" i="15"/>
  <c r="D31" i="15"/>
  <c r="D38" i="15" l="1"/>
  <c r="J37" i="14"/>
  <c r="J36" i="14"/>
  <c r="J32" i="14"/>
  <c r="F11" i="14"/>
  <c r="C48" i="14"/>
  <c r="C39" i="14"/>
  <c r="C36" i="14"/>
  <c r="D53" i="15" l="1"/>
  <c r="D55" i="15" s="1"/>
  <c r="D57" i="15" s="1"/>
  <c r="C42" i="15"/>
  <c r="C43" i="15" s="1"/>
  <c r="C51" i="14"/>
  <c r="C53" i="14" s="1"/>
  <c r="F12" i="14"/>
</calcChain>
</file>

<file path=xl/sharedStrings.xml><?xml version="1.0" encoding="utf-8"?>
<sst xmlns="http://schemas.openxmlformats.org/spreadsheetml/2006/main" count="403" uniqueCount="120">
  <si>
    <t>CALCULOS POR ART. 159</t>
  </si>
  <si>
    <t>CALCULOS POR ART. 160</t>
  </si>
  <si>
    <t>CALCULOS POR ART. 161</t>
  </si>
  <si>
    <t>CUADRO  BATERIA DE CALCULOS - FINIQUITOS</t>
  </si>
  <si>
    <t>Concepto a considerar en el finiquito;</t>
  </si>
  <si>
    <t xml:space="preserve"> - Años de servicio ( IAS)</t>
  </si>
  <si>
    <t xml:space="preserve"> - Remuneracion del mes ( Dias Efec. Trabajados)</t>
  </si>
  <si>
    <t>Vacaciones=</t>
  </si>
  <si>
    <t>1 Mes</t>
  </si>
  <si>
    <t>2 Mes</t>
  </si>
  <si>
    <t>12 Meses</t>
  </si>
  <si>
    <t>Vacaciones Proporcionales=</t>
  </si>
  <si>
    <t>Enero</t>
  </si>
  <si>
    <t>Febrero</t>
  </si>
  <si>
    <t>Marzo</t>
  </si>
  <si>
    <t>Abril</t>
  </si>
  <si>
    <t>Devengo Proporcional</t>
  </si>
  <si>
    <t xml:space="preserve"> - Vacaciones PDTES ( Periodos no tomados)</t>
  </si>
  <si>
    <t xml:space="preserve"> - Vacaciones Proporcionales ( Devengo del año Calendario)</t>
  </si>
  <si>
    <t>D.H</t>
  </si>
  <si>
    <t>1 año</t>
  </si>
  <si>
    <t>Dias Habiles</t>
  </si>
  <si>
    <t>D. Inhabiles</t>
  </si>
  <si>
    <t>Total Dias Vac. Pdtes</t>
  </si>
  <si>
    <t>Concepto que no se deben pagar</t>
  </si>
  <si>
    <t xml:space="preserve"> - Mes de Aviso Previo</t>
  </si>
  <si>
    <t xml:space="preserve"> - Indemnizacion Voluntaria ( Mutuo Acuerdo)</t>
  </si>
  <si>
    <r>
      <t xml:space="preserve"> - Indem por t° Servido </t>
    </r>
    <r>
      <rPr>
        <b/>
        <sz val="11"/>
        <color rgb="FFFF0000"/>
        <rFont val="Aptos Narrow"/>
        <family val="2"/>
        <scheme val="minor"/>
      </rPr>
      <t xml:space="preserve"> (VER)</t>
    </r>
    <r>
      <rPr>
        <sz val="11"/>
        <color rgb="FFFF0000"/>
        <rFont val="Aptos Narrow"/>
        <family val="2"/>
        <scheme val="minor"/>
      </rPr>
      <t xml:space="preserve"> por obra o faena</t>
    </r>
  </si>
  <si>
    <t>2,5 dia. Rem como Ind * cada mes</t>
  </si>
  <si>
    <t>Concepto que se deben agregar</t>
  </si>
  <si>
    <t xml:space="preserve"> - Mes de Aviso Previo // cuando  no se da el aviso 30 dias como minimo</t>
  </si>
  <si>
    <t>Que podemos descontar del finiquito</t>
  </si>
  <si>
    <t xml:space="preserve"> - no se puede descontar nada</t>
  </si>
  <si>
    <t>Concepto que se pueden descontar del finiquito</t>
  </si>
  <si>
    <t xml:space="preserve"> - AFC ( Previo Certificado del organismo) - Solo se descuenta de la IAS</t>
  </si>
  <si>
    <t xml:space="preserve"> - Resoluciones o fallos por pension de alimentos</t>
  </si>
  <si>
    <t xml:space="preserve">  - Si se puede Resoluciones o fallos por pension de alimentos</t>
  </si>
  <si>
    <t>30% IMM</t>
  </si>
  <si>
    <t>Depositar en la cuenta xxxxxxxxxxx</t>
  </si>
  <si>
    <t>Reajustado anual mente por IPC</t>
  </si>
  <si>
    <t>DIAS T.</t>
  </si>
  <si>
    <t>JORNADA</t>
  </si>
  <si>
    <t>TIPO DE CONTRATO</t>
  </si>
  <si>
    <t>INDEFNIDO</t>
  </si>
  <si>
    <t>SUELDO BASE</t>
  </si>
  <si>
    <t>GRATIFICACION</t>
  </si>
  <si>
    <t>25% TOPE 4,75 IMM</t>
  </si>
  <si>
    <t>COMISION</t>
  </si>
  <si>
    <t>H. EXTRAS</t>
  </si>
  <si>
    <t>TOTAL HABERES IMPONIBLES</t>
  </si>
  <si>
    <t>COLACION</t>
  </si>
  <si>
    <t>MOVILIZACION</t>
  </si>
  <si>
    <t>CARGAS FAMILIARES</t>
  </si>
  <si>
    <t>TOTAL HABERES NO IMPONIBLES</t>
  </si>
  <si>
    <t xml:space="preserve">TOTAL HABERES  </t>
  </si>
  <si>
    <t>DESCUENTOS PREVISIONALES</t>
  </si>
  <si>
    <t>AFP capital</t>
  </si>
  <si>
    <t>AFC</t>
  </si>
  <si>
    <t>Salud</t>
  </si>
  <si>
    <t>IMPUESTO UNICO</t>
  </si>
  <si>
    <t>Imponibles</t>
  </si>
  <si>
    <t xml:space="preserve"> - dcto prev.</t>
  </si>
  <si>
    <t>Base tributable</t>
  </si>
  <si>
    <t>OTROS DESCUENTOS</t>
  </si>
  <si>
    <t>Cuota Sindical</t>
  </si>
  <si>
    <t>Dcto prestamo CCAF</t>
  </si>
  <si>
    <t>Ahorro - seguro CCAf</t>
  </si>
  <si>
    <t>TOTAL DESCUENTOS</t>
  </si>
  <si>
    <t>ALCANCE LIQUIDO</t>
  </si>
  <si>
    <t>ANTICIPO</t>
  </si>
  <si>
    <t>SUELDO LIQUIDO O POR PAGAR</t>
  </si>
  <si>
    <t>44 HR. SEMANALES</t>
  </si>
  <si>
    <t>INGRESO</t>
  </si>
  <si>
    <t>CALCULO DE FINIQUITO</t>
  </si>
  <si>
    <t>CALCULAR ANTIGÜEDAD LABORAL</t>
  </si>
  <si>
    <t>Meses</t>
  </si>
  <si>
    <t>Dias</t>
  </si>
  <si>
    <t>3 Meses</t>
  </si>
  <si>
    <t>28 Dias</t>
  </si>
  <si>
    <t xml:space="preserve">&lt; 1 año </t>
  </si>
  <si>
    <t xml:space="preserve"> = 0 Antigüedad</t>
  </si>
  <si>
    <t xml:space="preserve"> = 1 año antigüedad</t>
  </si>
  <si>
    <t>1 años y 6 meses</t>
  </si>
  <si>
    <t xml:space="preserve"> = 2 año antigüedad</t>
  </si>
  <si>
    <t>2 años</t>
  </si>
  <si>
    <t>2 años y 6 meses</t>
  </si>
  <si>
    <t xml:space="preserve"> = 3 año antigüedad</t>
  </si>
  <si>
    <t>ANTIGÜEDAD LABORAL</t>
  </si>
  <si>
    <t>3 años</t>
  </si>
  <si>
    <t>Años</t>
  </si>
  <si>
    <t>CAUSAL DE TERMINO</t>
  </si>
  <si>
    <t>ART 161 Nece. De la empresa</t>
  </si>
  <si>
    <t>CONSUMO DE VACACIONES</t>
  </si>
  <si>
    <t>Vacaciones acumuladas</t>
  </si>
  <si>
    <t>Rebaja Vacaciones Tomadas</t>
  </si>
  <si>
    <t>Vacaciones Propocionales</t>
  </si>
  <si>
    <t>Vacaciones por dia</t>
  </si>
  <si>
    <t>Total Vacaciones Habiles</t>
  </si>
  <si>
    <t>Redondear Dias Habiles</t>
  </si>
  <si>
    <t>Total Dias Vacaciones</t>
  </si>
  <si>
    <t>Inhabiles</t>
  </si>
  <si>
    <t>Valorizacion de vacaciones</t>
  </si>
  <si>
    <t>Sueldo base por dia</t>
  </si>
  <si>
    <t>Valorizar vacaciones</t>
  </si>
  <si>
    <t>CALCULAR VACACIONES</t>
  </si>
  <si>
    <t>INDEMNIZACION POR AÑO DE SERVICIO</t>
  </si>
  <si>
    <t xml:space="preserve">ANTIGÜEDAD EN AÑO </t>
  </si>
  <si>
    <t>Variables ( Promedio 3 -6 ultimos meses</t>
  </si>
  <si>
    <t>BASE DE CALCULO 1</t>
  </si>
  <si>
    <t>BASE DE CALCULO final</t>
  </si>
  <si>
    <t>Valorizacion de Indemnizacion por años de servicio</t>
  </si>
  <si>
    <t>RESUMEN DE FINIQUITO</t>
  </si>
  <si>
    <t>SUELDO DEL MES</t>
  </si>
  <si>
    <t>VACACIONES</t>
  </si>
  <si>
    <t>INDEMNIZACIONES</t>
  </si>
  <si>
    <t>MES DE AVISO</t>
  </si>
  <si>
    <t>Rebaja AFC</t>
  </si>
  <si>
    <t>finiquito liquido</t>
  </si>
  <si>
    <t>ART 159 "Reuncia Voluntaria"</t>
  </si>
  <si>
    <t>Causal art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</si>
</sst>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0.0000000"/>
  </numFmts>
  <fonts count="13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3" tint="0.249977111117893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1" fillId="0" borderId="0" xfId="0" applyFont="1"/>
    <xf numFmtId="0" fontId="0" fillId="2" borderId="0" xfId="0" applyFill="1"/>
    <xf numFmtId="0" fontId="0" fillId="2" borderId="2" xfId="0" applyFill="1" applyBorder="1"/>
    <xf numFmtId="0" fontId="0" fillId="0" borderId="2" xfId="0" applyBorder="1"/>
    <xf numFmtId="0" fontId="5" fillId="0" borderId="3" xfId="0" applyFont="1" applyBorder="1"/>
    <xf numFmtId="0" fontId="5" fillId="3" borderId="3" xfId="0" applyFont="1" applyFill="1" applyBorder="1"/>
    <xf numFmtId="0" fontId="5" fillId="3" borderId="2" xfId="0" applyFont="1" applyFill="1" applyBorder="1"/>
    <xf numFmtId="0" fontId="4" fillId="0" borderId="0" xfId="0" applyFont="1"/>
    <xf numFmtId="0" fontId="9" fillId="0" borderId="0" xfId="0" applyFont="1"/>
    <xf numFmtId="42" fontId="0" fillId="0" borderId="0" xfId="1" applyFont="1"/>
    <xf numFmtId="42" fontId="0" fillId="0" borderId="2" xfId="1" applyFont="1" applyBorder="1"/>
    <xf numFmtId="42" fontId="5" fillId="0" borderId="2" xfId="1" applyFont="1" applyBorder="1"/>
    <xf numFmtId="10" fontId="0" fillId="0" borderId="0" xfId="0" applyNumberFormat="1"/>
    <xf numFmtId="42" fontId="0" fillId="0" borderId="0" xfId="0" applyNumberFormat="1"/>
    <xf numFmtId="0" fontId="7" fillId="0" borderId="0" xfId="0" applyFont="1"/>
    <xf numFmtId="0" fontId="10" fillId="0" borderId="0" xfId="0" applyFont="1"/>
    <xf numFmtId="0" fontId="0" fillId="4" borderId="5" xfId="0" applyFill="1" applyBorder="1"/>
    <xf numFmtId="0" fontId="0" fillId="4" borderId="5" xfId="0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42" fontId="0" fillId="0" borderId="10" xfId="1" applyFont="1" applyBorder="1"/>
    <xf numFmtId="0" fontId="0" fillId="0" borderId="10" xfId="0" applyBorder="1"/>
    <xf numFmtId="0" fontId="0" fillId="0" borderId="9" xfId="0" applyBorder="1"/>
    <xf numFmtId="42" fontId="0" fillId="0" borderId="0" xfId="1" applyFont="1" applyBorder="1"/>
    <xf numFmtId="0" fontId="0" fillId="6" borderId="0" xfId="0" applyFill="1"/>
    <xf numFmtId="164" fontId="0" fillId="0" borderId="0" xfId="0" applyNumberFormat="1"/>
    <xf numFmtId="0" fontId="5" fillId="0" borderId="13" xfId="0" applyFont="1" applyBorder="1"/>
    <xf numFmtId="0" fontId="0" fillId="0" borderId="14" xfId="0" applyBorder="1"/>
    <xf numFmtId="42" fontId="5" fillId="0" borderId="15" xfId="0" applyNumberFormat="1" applyFont="1" applyBorder="1"/>
    <xf numFmtId="9" fontId="0" fillId="0" borderId="0" xfId="2" applyFont="1"/>
    <xf numFmtId="0" fontId="5" fillId="7" borderId="9" xfId="0" applyFont="1" applyFill="1" applyBorder="1"/>
    <xf numFmtId="0" fontId="0" fillId="7" borderId="0" xfId="0" applyFill="1"/>
    <xf numFmtId="42" fontId="5" fillId="7" borderId="10" xfId="0" applyNumberFormat="1" applyFont="1" applyFill="1" applyBorder="1"/>
    <xf numFmtId="0" fontId="5" fillId="0" borderId="9" xfId="0" applyFont="1" applyBorder="1"/>
    <xf numFmtId="10" fontId="5" fillId="0" borderId="0" xfId="0" applyNumberFormat="1" applyFont="1"/>
    <xf numFmtId="42" fontId="3" fillId="0" borderId="10" xfId="1" applyFont="1" applyBorder="1"/>
    <xf numFmtId="0" fontId="0" fillId="0" borderId="16" xfId="0" applyBorder="1"/>
    <xf numFmtId="9" fontId="0" fillId="0" borderId="17" xfId="0" applyNumberFormat="1" applyBorder="1"/>
    <xf numFmtId="42" fontId="0" fillId="0" borderId="18" xfId="1" applyFont="1" applyBorder="1"/>
    <xf numFmtId="0" fontId="5" fillId="0" borderId="19" xfId="0" applyFont="1" applyBorder="1"/>
    <xf numFmtId="0" fontId="5" fillId="0" borderId="20" xfId="0" applyFont="1" applyBorder="1"/>
    <xf numFmtId="42" fontId="5" fillId="0" borderId="21" xfId="0" applyNumberFormat="1" applyFont="1" applyBorder="1"/>
    <xf numFmtId="0" fontId="5" fillId="0" borderId="16" xfId="0" applyFont="1" applyBorder="1"/>
    <xf numFmtId="42" fontId="5" fillId="0" borderId="17" xfId="0" applyNumberFormat="1" applyFont="1" applyBorder="1"/>
    <xf numFmtId="0" fontId="0" fillId="0" borderId="18" xfId="0" applyBorder="1"/>
    <xf numFmtId="0" fontId="5" fillId="0" borderId="21" xfId="0" applyFont="1" applyBorder="1"/>
    <xf numFmtId="42" fontId="0" fillId="0" borderId="17" xfId="1" applyFont="1" applyBorder="1"/>
    <xf numFmtId="0" fontId="0" fillId="0" borderId="20" xfId="0" applyBorder="1"/>
    <xf numFmtId="0" fontId="5" fillId="0" borderId="14" xfId="0" applyFont="1" applyBorder="1"/>
    <xf numFmtId="42" fontId="0" fillId="0" borderId="10" xfId="0" applyNumberFormat="1" applyBorder="1"/>
    <xf numFmtId="0" fontId="11" fillId="0" borderId="0" xfId="0" applyFont="1"/>
    <xf numFmtId="0" fontId="12" fillId="8" borderId="13" xfId="0" applyFont="1" applyFill="1" applyBorder="1"/>
    <xf numFmtId="0" fontId="12" fillId="8" borderId="14" xfId="0" applyFont="1" applyFill="1" applyBorder="1"/>
    <xf numFmtId="42" fontId="12" fillId="8" borderId="15" xfId="0" applyNumberFormat="1" applyFont="1" applyFill="1" applyBorder="1"/>
    <xf numFmtId="15" fontId="0" fillId="4" borderId="5" xfId="0" applyNumberFormat="1" applyFill="1" applyBorder="1" applyAlignment="1">
      <alignment horizontal="right"/>
    </xf>
    <xf numFmtId="14" fontId="0" fillId="0" borderId="0" xfId="0" applyNumberFormat="1"/>
    <xf numFmtId="2" fontId="0" fillId="0" borderId="2" xfId="0" applyNumberFormat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22" xfId="0" applyBorder="1"/>
    <xf numFmtId="14" fontId="5" fillId="9" borderId="2" xfId="0" applyNumberFormat="1" applyFont="1" applyFill="1" applyBorder="1"/>
    <xf numFmtId="0" fontId="0" fillId="3" borderId="5" xfId="0" applyFill="1" applyBorder="1"/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0" fillId="0" borderId="0" xfId="1" applyNumberFormat="1" applyFont="1"/>
    <xf numFmtId="14" fontId="5" fillId="10" borderId="5" xfId="0" applyNumberFormat="1" applyFont="1" applyFill="1" applyBorder="1"/>
    <xf numFmtId="1" fontId="5" fillId="0" borderId="5" xfId="0" applyNumberFormat="1" applyFont="1" applyBorder="1"/>
    <xf numFmtId="2" fontId="0" fillId="0" borderId="0" xfId="0" applyNumberFormat="1" applyAlignment="1">
      <alignment horizontal="center"/>
    </xf>
    <xf numFmtId="2" fontId="5" fillId="10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10" borderId="5" xfId="0" applyFont="1" applyFill="1" applyBorder="1"/>
    <xf numFmtId="0" fontId="1" fillId="10" borderId="5" xfId="0" applyFont="1" applyFill="1" applyBorder="1" applyAlignment="1">
      <alignment horizontal="center"/>
    </xf>
    <xf numFmtId="42" fontId="5" fillId="0" borderId="5" xfId="1" applyFont="1" applyBorder="1"/>
    <xf numFmtId="42" fontId="5" fillId="0" borderId="4" xfId="0" applyNumberFormat="1" applyFont="1" applyBorder="1"/>
    <xf numFmtId="42" fontId="4" fillId="0" borderId="0" xfId="1" applyFont="1"/>
    <xf numFmtId="0" fontId="5" fillId="0" borderId="1" xfId="0" applyFont="1" applyBorder="1"/>
    <xf numFmtId="42" fontId="5" fillId="0" borderId="1" xfId="1" applyFont="1" applyBorder="1"/>
    <xf numFmtId="42" fontId="0" fillId="7" borderId="0" xfId="1" applyFont="1" applyFill="1"/>
    <xf numFmtId="0" fontId="1" fillId="4" borderId="5" xfId="0" applyFont="1" applyFill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308B-3041-4DD3-B585-BB5ED9B5AC5A}">
  <dimension ref="B2:U53"/>
  <sheetViews>
    <sheetView showGridLines="0" workbookViewId="0">
      <selection activeCell="V19" sqref="V19"/>
    </sheetView>
  </sheetViews>
  <sheetFormatPr baseColWidth="10" defaultRowHeight="15" x14ac:dyDescent="0.25"/>
  <cols>
    <col min="2" max="2" width="23.42578125" customWidth="1"/>
    <col min="8" max="8" width="5.85546875" customWidth="1"/>
    <col min="15" max="15" width="5.85546875" customWidth="1"/>
  </cols>
  <sheetData>
    <row r="2" spans="2:21" ht="24.75" thickBot="1" x14ac:dyDescent="0.3">
      <c r="B2" s="86" t="s">
        <v>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2:21" ht="15.75" thickTop="1" x14ac:dyDescent="0.25"/>
    <row r="6" spans="2:21" ht="15.75" thickBot="1" x14ac:dyDescent="0.3">
      <c r="B6" s="85" t="s">
        <v>0</v>
      </c>
      <c r="C6" s="85"/>
      <c r="D6" s="85"/>
      <c r="E6" s="85"/>
      <c r="F6" s="85"/>
      <c r="G6" s="85"/>
      <c r="I6" s="85" t="s">
        <v>1</v>
      </c>
      <c r="J6" s="85"/>
      <c r="K6" s="85"/>
      <c r="L6" s="85"/>
      <c r="M6" s="85"/>
      <c r="N6" s="85"/>
      <c r="P6" s="85" t="s">
        <v>2</v>
      </c>
      <c r="Q6" s="85"/>
      <c r="R6" s="85"/>
      <c r="S6" s="85"/>
      <c r="T6" s="85"/>
      <c r="U6" s="85"/>
    </row>
    <row r="7" spans="2:21" ht="15.75" thickTop="1" x14ac:dyDescent="0.25"/>
    <row r="9" spans="2:21" s="2" customFormat="1" x14ac:dyDescent="0.25">
      <c r="B9" s="87" t="s">
        <v>4</v>
      </c>
      <c r="C9" s="87"/>
      <c r="D9" s="87"/>
      <c r="E9" s="87"/>
      <c r="F9" s="87"/>
      <c r="G9" s="87"/>
      <c r="I9" s="87" t="s">
        <v>4</v>
      </c>
      <c r="J9" s="87"/>
      <c r="K9" s="87"/>
      <c r="L9" s="87"/>
      <c r="M9" s="87"/>
      <c r="N9" s="87"/>
      <c r="P9" s="87" t="s">
        <v>4</v>
      </c>
      <c r="Q9" s="87"/>
      <c r="R9" s="87"/>
      <c r="S9" s="87"/>
      <c r="T9" s="87"/>
      <c r="U9" s="87"/>
    </row>
    <row r="11" spans="2:21" x14ac:dyDescent="0.25">
      <c r="B11" t="s">
        <v>17</v>
      </c>
      <c r="F11">
        <f>+C40</f>
        <v>15</v>
      </c>
      <c r="I11" t="s">
        <v>17</v>
      </c>
      <c r="P11" t="s">
        <v>17</v>
      </c>
    </row>
    <row r="12" spans="2:21" x14ac:dyDescent="0.25">
      <c r="B12" t="s">
        <v>18</v>
      </c>
      <c r="F12">
        <f>+C48</f>
        <v>5</v>
      </c>
      <c r="I12" t="s">
        <v>18</v>
      </c>
      <c r="P12" t="s">
        <v>18</v>
      </c>
    </row>
    <row r="13" spans="2:21" x14ac:dyDescent="0.25">
      <c r="B13" t="s">
        <v>6</v>
      </c>
      <c r="F13">
        <v>1</v>
      </c>
      <c r="I13" t="s">
        <v>6</v>
      </c>
      <c r="P13" t="s">
        <v>6</v>
      </c>
    </row>
    <row r="14" spans="2:21" x14ac:dyDescent="0.25">
      <c r="B14" s="1" t="s">
        <v>26</v>
      </c>
    </row>
    <row r="15" spans="2:21" x14ac:dyDescent="0.25">
      <c r="B15" s="9" t="s">
        <v>27</v>
      </c>
    </row>
    <row r="16" spans="2:21" x14ac:dyDescent="0.25">
      <c r="B16" t="s">
        <v>28</v>
      </c>
    </row>
    <row r="18" spans="2:21" x14ac:dyDescent="0.25">
      <c r="B18" s="83" t="s">
        <v>24</v>
      </c>
      <c r="C18" s="83"/>
      <c r="D18" s="83"/>
      <c r="E18" s="83"/>
      <c r="F18" s="83"/>
      <c r="G18" s="83"/>
      <c r="I18" s="83" t="s">
        <v>24</v>
      </c>
      <c r="J18" s="83"/>
      <c r="K18" s="83"/>
      <c r="L18" s="83"/>
      <c r="M18" s="83"/>
      <c r="N18" s="83"/>
      <c r="P18" s="84" t="s">
        <v>29</v>
      </c>
      <c r="Q18" s="84"/>
      <c r="R18" s="84"/>
      <c r="S18" s="84"/>
      <c r="T18" s="84"/>
      <c r="U18" s="84"/>
    </row>
    <row r="19" spans="2:21" x14ac:dyDescent="0.25">
      <c r="B19" t="s">
        <v>5</v>
      </c>
      <c r="I19" t="s">
        <v>5</v>
      </c>
      <c r="P19" t="s">
        <v>5</v>
      </c>
    </row>
    <row r="20" spans="2:21" x14ac:dyDescent="0.25">
      <c r="B20" t="s">
        <v>25</v>
      </c>
      <c r="I20" t="s">
        <v>25</v>
      </c>
      <c r="P20" t="s">
        <v>30</v>
      </c>
    </row>
    <row r="23" spans="2:21" x14ac:dyDescent="0.25">
      <c r="B23" s="83" t="s">
        <v>31</v>
      </c>
      <c r="C23" s="83"/>
      <c r="D23" s="83"/>
      <c r="E23" s="83"/>
      <c r="F23" s="83"/>
      <c r="G23" s="83"/>
      <c r="I23" s="83" t="s">
        <v>31</v>
      </c>
      <c r="J23" s="83"/>
      <c r="K23" s="83"/>
      <c r="L23" s="83"/>
      <c r="M23" s="83"/>
      <c r="N23" s="83"/>
      <c r="P23" s="84" t="s">
        <v>33</v>
      </c>
      <c r="Q23" s="84"/>
      <c r="R23" s="84"/>
      <c r="S23" s="84"/>
      <c r="T23" s="84"/>
      <c r="U23" s="84"/>
    </row>
    <row r="24" spans="2:21" x14ac:dyDescent="0.25">
      <c r="B24" t="s">
        <v>32</v>
      </c>
      <c r="I24" t="s">
        <v>32</v>
      </c>
      <c r="P24" t="s">
        <v>34</v>
      </c>
    </row>
    <row r="25" spans="2:21" x14ac:dyDescent="0.25">
      <c r="B25" s="10" t="s">
        <v>36</v>
      </c>
      <c r="C25" s="10"/>
      <c r="D25" s="10"/>
      <c r="E25" s="10"/>
      <c r="F25" s="10"/>
      <c r="G25" s="10"/>
      <c r="H25" s="10"/>
      <c r="I25" s="10" t="s">
        <v>36</v>
      </c>
      <c r="P25" t="s">
        <v>35</v>
      </c>
    </row>
    <row r="30" spans="2:21" ht="15.75" thickBot="1" x14ac:dyDescent="0.3"/>
    <row r="31" spans="2:21" ht="15.75" thickBot="1" x14ac:dyDescent="0.3">
      <c r="I31" s="12">
        <v>460000</v>
      </c>
    </row>
    <row r="32" spans="2:21" ht="15.75" thickBot="1" x14ac:dyDescent="0.3">
      <c r="I32" t="s">
        <v>37</v>
      </c>
      <c r="J32" s="13">
        <f>+I31*0.3</f>
        <v>138000</v>
      </c>
      <c r="K32" s="16" t="s">
        <v>38</v>
      </c>
    </row>
    <row r="34" spans="2:10" x14ac:dyDescent="0.25">
      <c r="B34" s="2" t="s">
        <v>7</v>
      </c>
    </row>
    <row r="35" spans="2:10" x14ac:dyDescent="0.25">
      <c r="B35" t="s">
        <v>8</v>
      </c>
      <c r="C35" s="3">
        <v>1.25</v>
      </c>
      <c r="I35" t="s">
        <v>39</v>
      </c>
    </row>
    <row r="36" spans="2:10" x14ac:dyDescent="0.25">
      <c r="B36" t="s">
        <v>9</v>
      </c>
      <c r="C36" s="3">
        <f>+C35*2</f>
        <v>2.5</v>
      </c>
      <c r="I36" s="14">
        <v>3.1E-2</v>
      </c>
      <c r="J36">
        <f>+J32*0.031</f>
        <v>4278</v>
      </c>
    </row>
    <row r="37" spans="2:10" x14ac:dyDescent="0.25">
      <c r="I37" t="s">
        <v>12</v>
      </c>
      <c r="J37" s="15">
        <f>+J32+J36</f>
        <v>142278</v>
      </c>
    </row>
    <row r="38" spans="2:10" ht="15.75" thickBot="1" x14ac:dyDescent="0.3"/>
    <row r="39" spans="2:10" ht="15.75" thickBot="1" x14ac:dyDescent="0.3">
      <c r="B39" s="5" t="s">
        <v>10</v>
      </c>
      <c r="C39" s="4">
        <f>+C35*12</f>
        <v>15</v>
      </c>
    </row>
    <row r="40" spans="2:10" x14ac:dyDescent="0.25">
      <c r="B40" t="s">
        <v>20</v>
      </c>
      <c r="C40">
        <v>15</v>
      </c>
      <c r="D40" t="s">
        <v>19</v>
      </c>
    </row>
    <row r="43" spans="2:10" x14ac:dyDescent="0.25">
      <c r="B43" s="2" t="s">
        <v>11</v>
      </c>
    </row>
    <row r="44" spans="2:10" x14ac:dyDescent="0.25">
      <c r="B44" t="s">
        <v>12</v>
      </c>
      <c r="C44">
        <v>1.25</v>
      </c>
      <c r="D44" t="s">
        <v>19</v>
      </c>
    </row>
    <row r="45" spans="2:10" x14ac:dyDescent="0.25">
      <c r="B45" t="s">
        <v>13</v>
      </c>
      <c r="C45">
        <v>1.25</v>
      </c>
      <c r="D45" t="s">
        <v>19</v>
      </c>
    </row>
    <row r="46" spans="2:10" x14ac:dyDescent="0.25">
      <c r="B46" t="s">
        <v>14</v>
      </c>
      <c r="C46">
        <v>1.25</v>
      </c>
      <c r="D46" t="s">
        <v>19</v>
      </c>
    </row>
    <row r="47" spans="2:10" ht="15.75" thickBot="1" x14ac:dyDescent="0.3">
      <c r="B47" t="s">
        <v>15</v>
      </c>
      <c r="C47">
        <v>1.25</v>
      </c>
      <c r="D47" t="s">
        <v>19</v>
      </c>
    </row>
    <row r="48" spans="2:10" ht="15.75" thickBot="1" x14ac:dyDescent="0.3">
      <c r="B48" s="5" t="s">
        <v>16</v>
      </c>
      <c r="C48" s="4">
        <f>SUM(C44:C47)</f>
        <v>5</v>
      </c>
      <c r="D48" t="s">
        <v>19</v>
      </c>
    </row>
    <row r="51" spans="2:3" x14ac:dyDescent="0.25">
      <c r="B51" t="s">
        <v>21</v>
      </c>
      <c r="C51">
        <f>+C48+C39</f>
        <v>20</v>
      </c>
    </row>
    <row r="52" spans="2:3" ht="15.75" thickBot="1" x14ac:dyDescent="0.3">
      <c r="B52" t="s">
        <v>22</v>
      </c>
      <c r="C52">
        <v>8</v>
      </c>
    </row>
    <row r="53" spans="2:3" ht="15.75" thickBot="1" x14ac:dyDescent="0.3">
      <c r="B53" s="7" t="s">
        <v>23</v>
      </c>
      <c r="C53" s="8">
        <f>SUM(C51:C52)</f>
        <v>28</v>
      </c>
    </row>
  </sheetData>
  <mergeCells count="13">
    <mergeCell ref="B6:G6"/>
    <mergeCell ref="I6:N6"/>
    <mergeCell ref="P6:U6"/>
    <mergeCell ref="B2:U2"/>
    <mergeCell ref="B9:G9"/>
    <mergeCell ref="I9:N9"/>
    <mergeCell ref="P9:U9"/>
    <mergeCell ref="B18:G18"/>
    <mergeCell ref="I18:N18"/>
    <mergeCell ref="P18:U18"/>
    <mergeCell ref="B23:G23"/>
    <mergeCell ref="I23:N23"/>
    <mergeCell ref="P23:U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942C6-16DB-49A3-8652-6A01A3A9CF2D}">
  <dimension ref="A1:K63"/>
  <sheetViews>
    <sheetView showGridLines="0" workbookViewId="0">
      <selection activeCell="L18" sqref="L18"/>
    </sheetView>
  </sheetViews>
  <sheetFormatPr baseColWidth="10" defaultRowHeight="15" x14ac:dyDescent="0.25"/>
  <cols>
    <col min="2" max="2" width="39.140625" customWidth="1"/>
    <col min="3" max="3" width="28.5703125" customWidth="1"/>
    <col min="4" max="4" width="14.28515625" bestFit="1" customWidth="1"/>
    <col min="6" max="6" width="27" bestFit="1" customWidth="1"/>
    <col min="10" max="10" width="47.5703125" bestFit="1" customWidth="1"/>
    <col min="11" max="11" width="21" customWidth="1"/>
  </cols>
  <sheetData>
    <row r="1" spans="2:11" ht="15.75" thickBot="1" x14ac:dyDescent="0.3"/>
    <row r="2" spans="2:11" ht="15.75" thickBot="1" x14ac:dyDescent="0.3">
      <c r="B2" s="2" t="s">
        <v>73</v>
      </c>
      <c r="F2" s="91" t="s">
        <v>74</v>
      </c>
      <c r="G2" s="92"/>
      <c r="J2" s="91" t="s">
        <v>87</v>
      </c>
      <c r="K2" s="92"/>
    </row>
    <row r="3" spans="2:11" ht="15.75" thickBot="1" x14ac:dyDescent="0.3">
      <c r="F3" s="64">
        <f ca="1">TODAY()</f>
        <v>45418</v>
      </c>
      <c r="G3" s="60">
        <f ca="1">DAYS360(C7,F3)/360</f>
        <v>2.3472222222222223</v>
      </c>
      <c r="J3" s="63" t="s">
        <v>79</v>
      </c>
      <c r="K3" s="63" t="s">
        <v>80</v>
      </c>
    </row>
    <row r="4" spans="2:11" x14ac:dyDescent="0.25">
      <c r="B4" s="17" t="s">
        <v>40</v>
      </c>
      <c r="C4" s="18">
        <v>30</v>
      </c>
      <c r="F4" s="63" t="s">
        <v>89</v>
      </c>
      <c r="G4" s="63" t="s">
        <v>84</v>
      </c>
      <c r="J4" s="62" t="s">
        <v>20</v>
      </c>
      <c r="K4" s="62" t="s">
        <v>81</v>
      </c>
    </row>
    <row r="5" spans="2:11" x14ac:dyDescent="0.25">
      <c r="B5" s="17" t="s">
        <v>41</v>
      </c>
      <c r="C5" s="19" t="s">
        <v>71</v>
      </c>
      <c r="F5" s="63" t="s">
        <v>75</v>
      </c>
      <c r="G5" s="63" t="s">
        <v>77</v>
      </c>
      <c r="J5" s="65" t="s">
        <v>82</v>
      </c>
      <c r="K5" s="65" t="s">
        <v>83</v>
      </c>
    </row>
    <row r="6" spans="2:11" x14ac:dyDescent="0.25">
      <c r="B6" s="17" t="s">
        <v>42</v>
      </c>
      <c r="C6" s="19" t="s">
        <v>43</v>
      </c>
      <c r="F6" s="62" t="s">
        <v>76</v>
      </c>
      <c r="G6" s="62" t="s">
        <v>78</v>
      </c>
      <c r="J6" s="62" t="s">
        <v>84</v>
      </c>
      <c r="K6" s="62" t="s">
        <v>83</v>
      </c>
    </row>
    <row r="7" spans="2:11" x14ac:dyDescent="0.25">
      <c r="B7" s="17" t="s">
        <v>72</v>
      </c>
      <c r="C7" s="58">
        <v>44562</v>
      </c>
      <c r="J7" s="65" t="s">
        <v>85</v>
      </c>
      <c r="K7" s="65" t="s">
        <v>86</v>
      </c>
    </row>
    <row r="8" spans="2:11" x14ac:dyDescent="0.25">
      <c r="B8" s="17" t="s">
        <v>90</v>
      </c>
      <c r="C8" s="66" t="s">
        <v>91</v>
      </c>
      <c r="F8" s="59"/>
      <c r="J8" s="62" t="s">
        <v>88</v>
      </c>
      <c r="K8" s="62" t="s">
        <v>86</v>
      </c>
    </row>
    <row r="9" spans="2:11" ht="15.75" thickBot="1" x14ac:dyDescent="0.3">
      <c r="B9" s="17" t="s">
        <v>92</v>
      </c>
      <c r="C9" s="67">
        <v>20</v>
      </c>
      <c r="F9" s="68"/>
    </row>
    <row r="10" spans="2:11" ht="15.75" thickBot="1" x14ac:dyDescent="0.3">
      <c r="F10" s="93" t="s">
        <v>104</v>
      </c>
      <c r="G10" s="94"/>
      <c r="J10" s="93" t="s">
        <v>105</v>
      </c>
      <c r="K10" s="94"/>
    </row>
    <row r="11" spans="2:11" x14ac:dyDescent="0.25">
      <c r="F11" s="59" t="s">
        <v>93</v>
      </c>
      <c r="G11" s="61">
        <f>2*15</f>
        <v>30</v>
      </c>
    </row>
    <row r="12" spans="2:11" ht="15.75" thickBot="1" x14ac:dyDescent="0.3">
      <c r="F12" s="59" t="s">
        <v>94</v>
      </c>
      <c r="G12" s="61">
        <f>-C9</f>
        <v>-20</v>
      </c>
      <c r="J12" t="s">
        <v>106</v>
      </c>
      <c r="K12" s="61">
        <v>2</v>
      </c>
    </row>
    <row r="13" spans="2:11" x14ac:dyDescent="0.25">
      <c r="B13" s="20"/>
      <c r="C13" s="21"/>
      <c r="D13" s="22"/>
      <c r="F13" s="59" t="s">
        <v>95</v>
      </c>
      <c r="G13" s="61">
        <f>1.25*3</f>
        <v>3.75</v>
      </c>
      <c r="J13" s="1" t="s">
        <v>108</v>
      </c>
      <c r="K13" s="15">
        <f>D31</f>
        <v>665000</v>
      </c>
    </row>
    <row r="14" spans="2:11" ht="15.75" thickBot="1" x14ac:dyDescent="0.3">
      <c r="B14" s="23" t="s">
        <v>44</v>
      </c>
      <c r="D14" s="24">
        <v>460000</v>
      </c>
      <c r="F14" s="59" t="s">
        <v>96</v>
      </c>
      <c r="G14" s="71">
        <f>1.25/30*28</f>
        <v>1.1666666666666665</v>
      </c>
      <c r="J14" t="s">
        <v>107</v>
      </c>
      <c r="K14">
        <v>0</v>
      </c>
    </row>
    <row r="15" spans="2:11" ht="15.75" thickBot="1" x14ac:dyDescent="0.3">
      <c r="B15" s="89" t="s">
        <v>45</v>
      </c>
      <c r="C15" t="s">
        <v>46</v>
      </c>
      <c r="D15" s="24">
        <f>+D14*0.25</f>
        <v>115000</v>
      </c>
      <c r="F15" s="69" t="s">
        <v>97</v>
      </c>
      <c r="G15" s="72">
        <f>SUM(G11:G14)</f>
        <v>14.916666666666666</v>
      </c>
      <c r="J15" s="6" t="s">
        <v>109</v>
      </c>
      <c r="K15" s="77">
        <f>+K13+K14</f>
        <v>665000</v>
      </c>
    </row>
    <row r="16" spans="2:11" ht="15.75" thickBot="1" x14ac:dyDescent="0.3">
      <c r="B16" s="90"/>
      <c r="D16" s="25"/>
      <c r="F16" s="70" t="s">
        <v>98</v>
      </c>
      <c r="G16" s="73">
        <v>15</v>
      </c>
    </row>
    <row r="17" spans="2:11" ht="15.75" thickBot="1" x14ac:dyDescent="0.3">
      <c r="B17" s="26"/>
      <c r="D17" s="25"/>
      <c r="F17" s="59" t="s">
        <v>100</v>
      </c>
      <c r="G17" s="61">
        <v>8</v>
      </c>
      <c r="J17" s="6" t="s">
        <v>110</v>
      </c>
      <c r="K17" s="13">
        <f>+K15*K12</f>
        <v>1330000</v>
      </c>
    </row>
    <row r="18" spans="2:11" x14ac:dyDescent="0.25">
      <c r="B18" s="89" t="s">
        <v>47</v>
      </c>
      <c r="C18" s="27">
        <v>3000000</v>
      </c>
      <c r="D18" s="25"/>
      <c r="F18" s="74" t="s">
        <v>99</v>
      </c>
      <c r="G18" s="75">
        <f>+G16+G17</f>
        <v>23</v>
      </c>
    </row>
    <row r="19" spans="2:11" x14ac:dyDescent="0.25">
      <c r="B19" s="90"/>
      <c r="C19" s="28"/>
      <c r="D19" s="24">
        <f>+C18*C19</f>
        <v>0</v>
      </c>
    </row>
    <row r="20" spans="2:11" x14ac:dyDescent="0.25">
      <c r="B20" s="26"/>
      <c r="D20" s="24"/>
    </row>
    <row r="21" spans="2:11" x14ac:dyDescent="0.25">
      <c r="B21" s="89" t="s">
        <v>48</v>
      </c>
      <c r="C21" s="28"/>
      <c r="D21" s="24"/>
      <c r="F21" s="2" t="s">
        <v>101</v>
      </c>
    </row>
    <row r="22" spans="2:11" x14ac:dyDescent="0.25">
      <c r="B22" s="90"/>
      <c r="C22" s="29">
        <v>7.7777000000000002E-3</v>
      </c>
      <c r="D22" s="24">
        <f>+D14*C22*C21</f>
        <v>0</v>
      </c>
      <c r="F22" t="s">
        <v>44</v>
      </c>
      <c r="G22" s="15">
        <f>+D14</f>
        <v>460000</v>
      </c>
    </row>
    <row r="23" spans="2:11" ht="15.75" thickBot="1" x14ac:dyDescent="0.3">
      <c r="B23" s="30" t="s">
        <v>49</v>
      </c>
      <c r="C23" s="31"/>
      <c r="D23" s="32">
        <f>+D14+D15+D19+D22</f>
        <v>575000</v>
      </c>
      <c r="F23" t="s">
        <v>102</v>
      </c>
      <c r="G23">
        <f>+G22/30</f>
        <v>15333.333333333334</v>
      </c>
    </row>
    <row r="24" spans="2:11" x14ac:dyDescent="0.25">
      <c r="B24" s="20"/>
      <c r="C24" s="21"/>
      <c r="D24" s="22"/>
      <c r="F24" s="76" t="s">
        <v>103</v>
      </c>
      <c r="G24" s="76">
        <f>+G23*G18</f>
        <v>352666.66666666669</v>
      </c>
    </row>
    <row r="25" spans="2:11" x14ac:dyDescent="0.25">
      <c r="B25" s="26" t="s">
        <v>50</v>
      </c>
      <c r="D25" s="24">
        <v>45000</v>
      </c>
      <c r="E25" s="33"/>
    </row>
    <row r="26" spans="2:11" x14ac:dyDescent="0.25">
      <c r="B26" s="26" t="s">
        <v>51</v>
      </c>
      <c r="D26" s="24">
        <v>45000</v>
      </c>
    </row>
    <row r="27" spans="2:11" x14ac:dyDescent="0.25">
      <c r="B27" s="26" t="s">
        <v>52</v>
      </c>
      <c r="D27" s="24">
        <f>+C27*2</f>
        <v>0</v>
      </c>
    </row>
    <row r="28" spans="2:11" ht="15.75" thickBot="1" x14ac:dyDescent="0.3">
      <c r="B28" s="26"/>
      <c r="D28" s="24"/>
      <c r="J28" s="85" t="str">
        <f>C8</f>
        <v>ART 161 Nece. De la empresa</v>
      </c>
      <c r="K28" s="85"/>
    </row>
    <row r="29" spans="2:11" ht="15.75" thickTop="1" x14ac:dyDescent="0.25">
      <c r="B29" s="26"/>
      <c r="D29" s="24"/>
    </row>
    <row r="30" spans="2:11" ht="15.75" thickBot="1" x14ac:dyDescent="0.3">
      <c r="B30" s="30" t="s">
        <v>53</v>
      </c>
      <c r="C30" s="31"/>
      <c r="D30" s="32">
        <f>SUM(D25:D29)</f>
        <v>90000</v>
      </c>
      <c r="J30" s="88" t="s">
        <v>111</v>
      </c>
      <c r="K30" s="88"/>
    </row>
    <row r="31" spans="2:11" ht="15.75" thickBot="1" x14ac:dyDescent="0.3">
      <c r="B31" s="34" t="s">
        <v>54</v>
      </c>
      <c r="C31" s="35"/>
      <c r="D31" s="36">
        <f>+D23+D30</f>
        <v>665000</v>
      </c>
      <c r="J31" t="s">
        <v>112</v>
      </c>
      <c r="K31" s="11">
        <f>+D57</f>
        <v>555520</v>
      </c>
    </row>
    <row r="32" spans="2:11" x14ac:dyDescent="0.25">
      <c r="B32" s="20"/>
      <c r="C32" s="21"/>
      <c r="D32" s="22"/>
      <c r="J32" t="s">
        <v>113</v>
      </c>
      <c r="K32" s="11">
        <f>+G24</f>
        <v>352666.66666666669</v>
      </c>
    </row>
    <row r="33" spans="2:11" x14ac:dyDescent="0.25">
      <c r="B33" s="37" t="s">
        <v>55</v>
      </c>
      <c r="D33" s="25"/>
      <c r="J33" t="s">
        <v>114</v>
      </c>
      <c r="K33" s="11">
        <f>+K17</f>
        <v>1330000</v>
      </c>
    </row>
    <row r="34" spans="2:11" x14ac:dyDescent="0.25">
      <c r="B34" s="26" t="s">
        <v>56</v>
      </c>
      <c r="C34" s="14">
        <v>0.1144</v>
      </c>
      <c r="D34" s="25"/>
      <c r="E34" s="15">
        <f>+C34*$D$23</f>
        <v>65780</v>
      </c>
      <c r="J34" t="s">
        <v>115</v>
      </c>
      <c r="K34" s="11">
        <v>0</v>
      </c>
    </row>
    <row r="35" spans="2:11" x14ac:dyDescent="0.25">
      <c r="B35" s="26" t="s">
        <v>57</v>
      </c>
      <c r="C35" s="14">
        <v>6.0000000000000001E-3</v>
      </c>
      <c r="D35" s="25"/>
      <c r="E35" s="15">
        <f>+C35*$D$23</f>
        <v>3450</v>
      </c>
      <c r="G35" s="14"/>
      <c r="J35" t="s">
        <v>116</v>
      </c>
      <c r="K35" s="78">
        <v>-150000</v>
      </c>
    </row>
    <row r="36" spans="2:11" ht="15.75" thickBot="1" x14ac:dyDescent="0.3">
      <c r="B36" s="37" t="s">
        <v>56</v>
      </c>
      <c r="C36" s="38">
        <f>SUM(C34:C35)</f>
        <v>0.12040000000000001</v>
      </c>
      <c r="D36" s="39">
        <f>+D23*C36</f>
        <v>69230</v>
      </c>
      <c r="E36" s="15"/>
      <c r="J36" s="79" t="s">
        <v>117</v>
      </c>
      <c r="K36" s="80">
        <f>SUM(K31:K35)</f>
        <v>2088186.666666667</v>
      </c>
    </row>
    <row r="37" spans="2:11" ht="15.75" thickTop="1" x14ac:dyDescent="0.25">
      <c r="B37" s="40" t="s">
        <v>58</v>
      </c>
      <c r="C37" s="41">
        <v>7.0000000000000007E-2</v>
      </c>
      <c r="D37" s="42">
        <f>+D23*C37</f>
        <v>40250.000000000007</v>
      </c>
      <c r="E37" s="15">
        <f>+C37*$D$23</f>
        <v>40250.000000000007</v>
      </c>
      <c r="K37" s="11"/>
    </row>
    <row r="38" spans="2:11" ht="15.75" thickBot="1" x14ac:dyDescent="0.3">
      <c r="B38" s="43" t="s">
        <v>55</v>
      </c>
      <c r="C38" s="44"/>
      <c r="D38" s="45">
        <f>+D36+D37</f>
        <v>109480</v>
      </c>
      <c r="K38" s="11"/>
    </row>
    <row r="39" spans="2:11" x14ac:dyDescent="0.25">
      <c r="B39" s="20"/>
      <c r="C39" s="21"/>
      <c r="D39" s="22"/>
    </row>
    <row r="40" spans="2:11" x14ac:dyDescent="0.25">
      <c r="B40" s="37" t="s">
        <v>59</v>
      </c>
      <c r="D40" s="25"/>
    </row>
    <row r="41" spans="2:11" x14ac:dyDescent="0.25">
      <c r="B41" s="26" t="s">
        <v>60</v>
      </c>
      <c r="C41" s="15">
        <f>+D23</f>
        <v>575000</v>
      </c>
      <c r="D41" s="25"/>
    </row>
    <row r="42" spans="2:11" x14ac:dyDescent="0.25">
      <c r="B42" s="26" t="s">
        <v>61</v>
      </c>
      <c r="C42" s="15">
        <f>-D38</f>
        <v>-109480</v>
      </c>
      <c r="D42" s="25"/>
    </row>
    <row r="43" spans="2:11" x14ac:dyDescent="0.25">
      <c r="B43" s="46" t="s">
        <v>62</v>
      </c>
      <c r="C43" s="47">
        <f>SUM(C41:C42)</f>
        <v>465520</v>
      </c>
      <c r="D43" s="48"/>
    </row>
    <row r="44" spans="2:11" ht="15.75" thickBot="1" x14ac:dyDescent="0.3">
      <c r="B44" s="43" t="s">
        <v>59</v>
      </c>
      <c r="C44" s="44"/>
      <c r="D44" s="49">
        <v>0</v>
      </c>
    </row>
    <row r="45" spans="2:11" x14ac:dyDescent="0.25">
      <c r="B45" s="20"/>
      <c r="C45" s="21"/>
      <c r="D45" s="22"/>
    </row>
    <row r="46" spans="2:11" x14ac:dyDescent="0.25">
      <c r="B46" s="37" t="s">
        <v>63</v>
      </c>
      <c r="D46" s="25"/>
    </row>
    <row r="47" spans="2:11" x14ac:dyDescent="0.25">
      <c r="B47" s="26" t="s">
        <v>64</v>
      </c>
      <c r="C47" s="27">
        <v>0</v>
      </c>
      <c r="D47" s="25"/>
    </row>
    <row r="48" spans="2:11" x14ac:dyDescent="0.25">
      <c r="B48" s="26" t="s">
        <v>65</v>
      </c>
      <c r="C48" s="27">
        <v>0</v>
      </c>
      <c r="D48" s="25"/>
    </row>
    <row r="49" spans="1:7" x14ac:dyDescent="0.25">
      <c r="B49" s="40" t="s">
        <v>66</v>
      </c>
      <c r="C49" s="50">
        <v>0</v>
      </c>
      <c r="D49" s="48"/>
    </row>
    <row r="50" spans="1:7" ht="15.75" thickBot="1" x14ac:dyDescent="0.3">
      <c r="B50" s="43" t="s">
        <v>63</v>
      </c>
      <c r="C50" s="51"/>
      <c r="D50" s="45">
        <f>SUM(C47:C49)</f>
        <v>0</v>
      </c>
      <c r="E50" s="33">
        <f>+D50/D23</f>
        <v>0</v>
      </c>
    </row>
    <row r="51" spans="1:7" x14ac:dyDescent="0.25">
      <c r="B51" s="26"/>
      <c r="D51" s="25"/>
    </row>
    <row r="52" spans="1:7" x14ac:dyDescent="0.25">
      <c r="B52" s="26"/>
      <c r="D52" s="25"/>
    </row>
    <row r="53" spans="1:7" ht="15.75" thickBot="1" x14ac:dyDescent="0.3">
      <c r="B53" s="30" t="s">
        <v>67</v>
      </c>
      <c r="C53" s="52"/>
      <c r="D53" s="32">
        <f>+D38+D44+D50</f>
        <v>109480</v>
      </c>
    </row>
    <row r="54" spans="1:7" x14ac:dyDescent="0.25">
      <c r="B54" s="20"/>
      <c r="C54" s="21"/>
      <c r="D54" s="22"/>
    </row>
    <row r="55" spans="1:7" x14ac:dyDescent="0.25">
      <c r="B55" s="26" t="s">
        <v>68</v>
      </c>
      <c r="D55" s="53">
        <f>+D23+D30-D53</f>
        <v>555520</v>
      </c>
    </row>
    <row r="56" spans="1:7" x14ac:dyDescent="0.25">
      <c r="B56" s="26" t="s">
        <v>69</v>
      </c>
      <c r="D56" s="24">
        <v>0</v>
      </c>
    </row>
    <row r="57" spans="1:7" ht="21.75" thickBot="1" x14ac:dyDescent="0.4">
      <c r="A57" s="54"/>
      <c r="B57" s="55" t="s">
        <v>70</v>
      </c>
      <c r="C57" s="56"/>
      <c r="D57" s="57">
        <f>+D55-D56</f>
        <v>555520</v>
      </c>
      <c r="E57" s="54"/>
    </row>
    <row r="58" spans="1:7" ht="21" x14ac:dyDescent="0.35">
      <c r="F58" s="54"/>
      <c r="G58" s="54"/>
    </row>
    <row r="59" spans="1:7" x14ac:dyDescent="0.25">
      <c r="D59" s="11"/>
    </row>
    <row r="60" spans="1:7" x14ac:dyDescent="0.25">
      <c r="D60" s="11"/>
    </row>
    <row r="61" spans="1:7" x14ac:dyDescent="0.25">
      <c r="D61" s="11"/>
    </row>
    <row r="62" spans="1:7" x14ac:dyDescent="0.25">
      <c r="D62" s="11"/>
    </row>
    <row r="63" spans="1:7" x14ac:dyDescent="0.25">
      <c r="D63" s="11"/>
    </row>
  </sheetData>
  <mergeCells count="9">
    <mergeCell ref="F2:G2"/>
    <mergeCell ref="J2:K2"/>
    <mergeCell ref="F10:G10"/>
    <mergeCell ref="J10:K10"/>
    <mergeCell ref="J30:K30"/>
    <mergeCell ref="J28:K28"/>
    <mergeCell ref="B15:B16"/>
    <mergeCell ref="B18:B19"/>
    <mergeCell ref="B21:B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7388-A459-4D67-8356-753696465EA9}">
  <dimension ref="A1:K63"/>
  <sheetViews>
    <sheetView showGridLines="0" workbookViewId="0">
      <selection activeCell="H5" sqref="H5"/>
    </sheetView>
  </sheetViews>
  <sheetFormatPr baseColWidth="10" defaultRowHeight="15" x14ac:dyDescent="0.25"/>
  <cols>
    <col min="2" max="2" width="39.140625" customWidth="1"/>
    <col min="3" max="3" width="28.5703125" customWidth="1"/>
    <col min="4" max="4" width="14.28515625" bestFit="1" customWidth="1"/>
    <col min="6" max="6" width="27" bestFit="1" customWidth="1"/>
    <col min="10" max="10" width="47.5703125" bestFit="1" customWidth="1"/>
    <col min="11" max="11" width="21" customWidth="1"/>
  </cols>
  <sheetData>
    <row r="1" spans="2:11" ht="15.75" thickBot="1" x14ac:dyDescent="0.3"/>
    <row r="2" spans="2:11" ht="15.75" thickBot="1" x14ac:dyDescent="0.3">
      <c r="B2" s="2" t="s">
        <v>73</v>
      </c>
      <c r="F2" s="91" t="s">
        <v>74</v>
      </c>
      <c r="G2" s="92"/>
      <c r="J2" s="91" t="s">
        <v>87</v>
      </c>
      <c r="K2" s="92"/>
    </row>
    <row r="3" spans="2:11" ht="15.75" thickBot="1" x14ac:dyDescent="0.3">
      <c r="F3" s="64">
        <f ca="1">TODAY()</f>
        <v>45418</v>
      </c>
      <c r="G3" s="60">
        <f ca="1">DAYS360(C7,F3)/360</f>
        <v>2.3472222222222223</v>
      </c>
      <c r="J3" s="63" t="s">
        <v>79</v>
      </c>
      <c r="K3" s="63" t="s">
        <v>80</v>
      </c>
    </row>
    <row r="4" spans="2:11" x14ac:dyDescent="0.25">
      <c r="B4" s="17" t="s">
        <v>40</v>
      </c>
      <c r="C4" s="82">
        <v>30</v>
      </c>
      <c r="F4" s="63" t="s">
        <v>89</v>
      </c>
      <c r="G4" s="63" t="s">
        <v>84</v>
      </c>
      <c r="J4" s="62" t="s">
        <v>20</v>
      </c>
      <c r="K4" s="62" t="s">
        <v>81</v>
      </c>
    </row>
    <row r="5" spans="2:11" x14ac:dyDescent="0.25">
      <c r="B5" s="17" t="s">
        <v>41</v>
      </c>
      <c r="C5" s="19" t="s">
        <v>71</v>
      </c>
      <c r="F5" s="63" t="s">
        <v>75</v>
      </c>
      <c r="G5" s="63" t="s">
        <v>77</v>
      </c>
      <c r="J5" s="65" t="s">
        <v>82</v>
      </c>
      <c r="K5" s="65" t="s">
        <v>83</v>
      </c>
    </row>
    <row r="6" spans="2:11" x14ac:dyDescent="0.25">
      <c r="B6" s="17" t="s">
        <v>42</v>
      </c>
      <c r="C6" s="19" t="s">
        <v>43</v>
      </c>
      <c r="F6" s="62" t="s">
        <v>76</v>
      </c>
      <c r="G6" s="62" t="s">
        <v>78</v>
      </c>
      <c r="J6" s="62" t="s">
        <v>84</v>
      </c>
      <c r="K6" s="62" t="s">
        <v>83</v>
      </c>
    </row>
    <row r="7" spans="2:11" x14ac:dyDescent="0.25">
      <c r="B7" s="17" t="s">
        <v>72</v>
      </c>
      <c r="C7" s="58">
        <v>44562</v>
      </c>
      <c r="J7" s="65" t="s">
        <v>85</v>
      </c>
      <c r="K7" s="65" t="s">
        <v>86</v>
      </c>
    </row>
    <row r="8" spans="2:11" x14ac:dyDescent="0.25">
      <c r="B8" s="17" t="s">
        <v>90</v>
      </c>
      <c r="C8" s="66" t="s">
        <v>91</v>
      </c>
      <c r="F8" s="59"/>
      <c r="J8" s="62" t="s">
        <v>88</v>
      </c>
      <c r="K8" s="62" t="s">
        <v>86</v>
      </c>
    </row>
    <row r="9" spans="2:11" ht="15.75" thickBot="1" x14ac:dyDescent="0.3">
      <c r="B9" s="17" t="s">
        <v>92</v>
      </c>
      <c r="C9" s="67">
        <v>20</v>
      </c>
      <c r="F9" s="68"/>
    </row>
    <row r="10" spans="2:11" ht="15.75" thickBot="1" x14ac:dyDescent="0.3">
      <c r="F10" s="93" t="s">
        <v>104</v>
      </c>
      <c r="G10" s="94"/>
      <c r="J10" s="93" t="s">
        <v>105</v>
      </c>
      <c r="K10" s="94"/>
    </row>
    <row r="11" spans="2:11" x14ac:dyDescent="0.25">
      <c r="F11" s="59" t="s">
        <v>93</v>
      </c>
      <c r="G11" s="61">
        <f>2*15</f>
        <v>30</v>
      </c>
    </row>
    <row r="12" spans="2:11" ht="15.75" thickBot="1" x14ac:dyDescent="0.3">
      <c r="F12" s="59" t="s">
        <v>94</v>
      </c>
      <c r="G12" s="61">
        <f>-C9</f>
        <v>-20</v>
      </c>
      <c r="J12" t="s">
        <v>106</v>
      </c>
      <c r="K12" s="61">
        <v>2</v>
      </c>
    </row>
    <row r="13" spans="2:11" x14ac:dyDescent="0.25">
      <c r="B13" s="20"/>
      <c r="C13" s="21"/>
      <c r="D13" s="22"/>
      <c r="F13" s="59" t="s">
        <v>95</v>
      </c>
      <c r="G13" s="61">
        <f>1.25*3</f>
        <v>3.75</v>
      </c>
      <c r="J13" s="1" t="s">
        <v>108</v>
      </c>
      <c r="K13" s="15">
        <f>D31</f>
        <v>665000</v>
      </c>
    </row>
    <row r="14" spans="2:11" ht="15.75" thickBot="1" x14ac:dyDescent="0.3">
      <c r="B14" s="23" t="s">
        <v>44</v>
      </c>
      <c r="D14" s="24">
        <v>460000</v>
      </c>
      <c r="F14" s="59" t="s">
        <v>96</v>
      </c>
      <c r="G14" s="71">
        <f>1.25/30*28</f>
        <v>1.1666666666666665</v>
      </c>
      <c r="J14" t="s">
        <v>107</v>
      </c>
      <c r="K14">
        <v>0</v>
      </c>
    </row>
    <row r="15" spans="2:11" ht="15.75" thickBot="1" x14ac:dyDescent="0.3">
      <c r="B15" s="89" t="s">
        <v>45</v>
      </c>
      <c r="C15" t="s">
        <v>46</v>
      </c>
      <c r="D15" s="24">
        <f>+D14*0.25</f>
        <v>115000</v>
      </c>
      <c r="F15" s="69" t="s">
        <v>97</v>
      </c>
      <c r="G15" s="72">
        <f>SUM(G11:G14)</f>
        <v>14.916666666666666</v>
      </c>
      <c r="J15" s="6" t="s">
        <v>109</v>
      </c>
      <c r="K15" s="77">
        <f>+K13+K14</f>
        <v>665000</v>
      </c>
    </row>
    <row r="16" spans="2:11" ht="15.75" thickBot="1" x14ac:dyDescent="0.3">
      <c r="B16" s="90"/>
      <c r="D16" s="25"/>
      <c r="F16" s="70" t="s">
        <v>98</v>
      </c>
      <c r="G16" s="73">
        <v>15</v>
      </c>
    </row>
    <row r="17" spans="2:11" ht="15.75" thickBot="1" x14ac:dyDescent="0.3">
      <c r="B17" s="26"/>
      <c r="D17" s="25"/>
      <c r="F17" s="59" t="s">
        <v>100</v>
      </c>
      <c r="G17" s="61">
        <v>8</v>
      </c>
      <c r="J17" s="6" t="s">
        <v>110</v>
      </c>
      <c r="K17" s="13">
        <f>+K15*K12</f>
        <v>1330000</v>
      </c>
    </row>
    <row r="18" spans="2:11" x14ac:dyDescent="0.25">
      <c r="B18" s="89" t="s">
        <v>47</v>
      </c>
      <c r="C18" s="27">
        <v>3000000</v>
      </c>
      <c r="D18" s="25"/>
      <c r="F18" s="74" t="s">
        <v>99</v>
      </c>
      <c r="G18" s="75">
        <f>+G16+G17</f>
        <v>23</v>
      </c>
    </row>
    <row r="19" spans="2:11" x14ac:dyDescent="0.25">
      <c r="B19" s="90"/>
      <c r="C19" s="28"/>
      <c r="D19" s="24">
        <f>+C18*C19</f>
        <v>0</v>
      </c>
    </row>
    <row r="20" spans="2:11" x14ac:dyDescent="0.25">
      <c r="B20" s="26"/>
      <c r="D20" s="24"/>
    </row>
    <row r="21" spans="2:11" x14ac:dyDescent="0.25">
      <c r="B21" s="89" t="s">
        <v>48</v>
      </c>
      <c r="C21" s="28"/>
      <c r="D21" s="24"/>
      <c r="F21" s="2" t="s">
        <v>101</v>
      </c>
    </row>
    <row r="22" spans="2:11" x14ac:dyDescent="0.25">
      <c r="B22" s="90"/>
      <c r="C22" s="29">
        <v>7.7777000000000002E-3</v>
      </c>
      <c r="D22" s="24">
        <f>+D14*C22*C21</f>
        <v>0</v>
      </c>
      <c r="F22" t="s">
        <v>44</v>
      </c>
      <c r="G22" s="15">
        <f>+D14</f>
        <v>460000</v>
      </c>
    </row>
    <row r="23" spans="2:11" ht="15.75" thickBot="1" x14ac:dyDescent="0.3">
      <c r="B23" s="30" t="s">
        <v>49</v>
      </c>
      <c r="C23" s="31"/>
      <c r="D23" s="32">
        <f>+D14+D15+D19+D22</f>
        <v>575000</v>
      </c>
      <c r="F23" t="s">
        <v>102</v>
      </c>
      <c r="G23">
        <f>+G22/30</f>
        <v>15333.333333333334</v>
      </c>
    </row>
    <row r="24" spans="2:11" x14ac:dyDescent="0.25">
      <c r="B24" s="20"/>
      <c r="C24" s="21"/>
      <c r="D24" s="22"/>
      <c r="F24" s="76" t="s">
        <v>103</v>
      </c>
      <c r="G24" s="76">
        <f>+G23*G18</f>
        <v>352666.66666666669</v>
      </c>
    </row>
    <row r="25" spans="2:11" x14ac:dyDescent="0.25">
      <c r="B25" s="26" t="s">
        <v>50</v>
      </c>
      <c r="D25" s="24">
        <v>45000</v>
      </c>
      <c r="E25" s="33"/>
    </row>
    <row r="26" spans="2:11" x14ac:dyDescent="0.25">
      <c r="B26" s="26" t="s">
        <v>51</v>
      </c>
      <c r="D26" s="24">
        <v>45000</v>
      </c>
    </row>
    <row r="27" spans="2:11" x14ac:dyDescent="0.25">
      <c r="B27" s="26" t="s">
        <v>52</v>
      </c>
      <c r="D27" s="24">
        <f>+C27*2</f>
        <v>0</v>
      </c>
    </row>
    <row r="28" spans="2:11" ht="15.75" thickBot="1" x14ac:dyDescent="0.3">
      <c r="B28" s="26"/>
      <c r="D28" s="24"/>
      <c r="J28" s="85" t="str">
        <f>C8</f>
        <v>ART 161 Nece. De la empresa</v>
      </c>
      <c r="K28" s="85"/>
    </row>
    <row r="29" spans="2:11" ht="15.75" thickTop="1" x14ac:dyDescent="0.25">
      <c r="B29" s="26"/>
      <c r="D29" s="24"/>
    </row>
    <row r="30" spans="2:11" ht="15.75" thickBot="1" x14ac:dyDescent="0.3">
      <c r="B30" s="30" t="s">
        <v>53</v>
      </c>
      <c r="C30" s="31"/>
      <c r="D30" s="32">
        <f>SUM(D25:D29)</f>
        <v>90000</v>
      </c>
      <c r="J30" s="88" t="s">
        <v>111</v>
      </c>
      <c r="K30" s="88"/>
    </row>
    <row r="31" spans="2:11" ht="15.75" thickBot="1" x14ac:dyDescent="0.3">
      <c r="B31" s="34" t="s">
        <v>54</v>
      </c>
      <c r="C31" s="35"/>
      <c r="D31" s="36">
        <f>+D23+D30</f>
        <v>665000</v>
      </c>
      <c r="J31" t="s">
        <v>112</v>
      </c>
      <c r="K31" s="11">
        <f>+D57</f>
        <v>555520</v>
      </c>
    </row>
    <row r="32" spans="2:11" x14ac:dyDescent="0.25">
      <c r="B32" s="20"/>
      <c r="C32" s="21"/>
      <c r="D32" s="22"/>
      <c r="J32" t="s">
        <v>113</v>
      </c>
      <c r="K32" s="11">
        <f>+G24</f>
        <v>352666.66666666669</v>
      </c>
    </row>
    <row r="33" spans="2:11" x14ac:dyDescent="0.25">
      <c r="B33" s="37" t="s">
        <v>55</v>
      </c>
      <c r="D33" s="25"/>
      <c r="J33" t="s">
        <v>114</v>
      </c>
      <c r="K33" s="11">
        <f>+K17</f>
        <v>1330000</v>
      </c>
    </row>
    <row r="34" spans="2:11" x14ac:dyDescent="0.25">
      <c r="B34" s="26" t="s">
        <v>56</v>
      </c>
      <c r="C34" s="14">
        <v>0.1144</v>
      </c>
      <c r="D34" s="25"/>
      <c r="E34" s="15">
        <f>+C34*$D$23</f>
        <v>65780</v>
      </c>
      <c r="J34" s="35" t="s">
        <v>115</v>
      </c>
      <c r="K34" s="81">
        <f>D31</f>
        <v>665000</v>
      </c>
    </row>
    <row r="35" spans="2:11" x14ac:dyDescent="0.25">
      <c r="B35" s="26" t="s">
        <v>57</v>
      </c>
      <c r="C35" s="14">
        <v>6.0000000000000001E-3</v>
      </c>
      <c r="D35" s="25"/>
      <c r="E35" s="15">
        <f>+C35*$D$23</f>
        <v>3450</v>
      </c>
      <c r="G35" s="14"/>
      <c r="J35" t="s">
        <v>116</v>
      </c>
      <c r="K35" s="78">
        <v>-150000</v>
      </c>
    </row>
    <row r="36" spans="2:11" ht="15.75" thickBot="1" x14ac:dyDescent="0.3">
      <c r="B36" s="37" t="s">
        <v>56</v>
      </c>
      <c r="C36" s="38">
        <f>SUM(C34:C35)</f>
        <v>0.12040000000000001</v>
      </c>
      <c r="D36" s="39">
        <f>+D23*C36</f>
        <v>69230</v>
      </c>
      <c r="E36" s="15"/>
      <c r="J36" s="79" t="s">
        <v>117</v>
      </c>
      <c r="K36" s="80">
        <f>SUM(K31:K35)</f>
        <v>2753186.666666667</v>
      </c>
    </row>
    <row r="37" spans="2:11" ht="15.75" thickTop="1" x14ac:dyDescent="0.25">
      <c r="B37" s="40" t="s">
        <v>58</v>
      </c>
      <c r="C37" s="41">
        <v>7.0000000000000007E-2</v>
      </c>
      <c r="D37" s="42">
        <f>+D23*C37</f>
        <v>40250.000000000007</v>
      </c>
      <c r="E37" s="15">
        <f>+C37*$D$23</f>
        <v>40250.000000000007</v>
      </c>
      <c r="K37" s="11"/>
    </row>
    <row r="38" spans="2:11" ht="15.75" thickBot="1" x14ac:dyDescent="0.3">
      <c r="B38" s="43" t="s">
        <v>55</v>
      </c>
      <c r="C38" s="44"/>
      <c r="D38" s="45">
        <f>+D36+D37</f>
        <v>109480</v>
      </c>
      <c r="K38" s="11"/>
    </row>
    <row r="39" spans="2:11" x14ac:dyDescent="0.25">
      <c r="B39" s="20"/>
      <c r="C39" s="21"/>
      <c r="D39" s="22"/>
    </row>
    <row r="40" spans="2:11" x14ac:dyDescent="0.25">
      <c r="B40" s="37" t="s">
        <v>59</v>
      </c>
      <c r="D40" s="25"/>
    </row>
    <row r="41" spans="2:11" x14ac:dyDescent="0.25">
      <c r="B41" s="26" t="s">
        <v>60</v>
      </c>
      <c r="C41" s="15">
        <f>+D23</f>
        <v>575000</v>
      </c>
      <c r="D41" s="25"/>
    </row>
    <row r="42" spans="2:11" x14ac:dyDescent="0.25">
      <c r="B42" s="26" t="s">
        <v>61</v>
      </c>
      <c r="C42" s="15">
        <f>-D38</f>
        <v>-109480</v>
      </c>
      <c r="D42" s="25"/>
    </row>
    <row r="43" spans="2:11" x14ac:dyDescent="0.25">
      <c r="B43" s="46" t="s">
        <v>62</v>
      </c>
      <c r="C43" s="47">
        <f>SUM(C41:C42)</f>
        <v>465520</v>
      </c>
      <c r="D43" s="48"/>
    </row>
    <row r="44" spans="2:11" ht="15.75" thickBot="1" x14ac:dyDescent="0.3">
      <c r="B44" s="43" t="s">
        <v>59</v>
      </c>
      <c r="C44" s="44"/>
      <c r="D44" s="49">
        <v>0</v>
      </c>
    </row>
    <row r="45" spans="2:11" x14ac:dyDescent="0.25">
      <c r="B45" s="20"/>
      <c r="C45" s="21"/>
      <c r="D45" s="22"/>
    </row>
    <row r="46" spans="2:11" x14ac:dyDescent="0.25">
      <c r="B46" s="37" t="s">
        <v>63</v>
      </c>
      <c r="D46" s="25"/>
    </row>
    <row r="47" spans="2:11" x14ac:dyDescent="0.25">
      <c r="B47" s="26" t="s">
        <v>64</v>
      </c>
      <c r="C47" s="27">
        <v>0</v>
      </c>
      <c r="D47" s="25"/>
    </row>
    <row r="48" spans="2:11" x14ac:dyDescent="0.25">
      <c r="B48" s="26" t="s">
        <v>65</v>
      </c>
      <c r="C48" s="27">
        <v>0</v>
      </c>
      <c r="D48" s="25"/>
    </row>
    <row r="49" spans="1:7" x14ac:dyDescent="0.25">
      <c r="B49" s="40" t="s">
        <v>66</v>
      </c>
      <c r="C49" s="50">
        <v>0</v>
      </c>
      <c r="D49" s="48"/>
    </row>
    <row r="50" spans="1:7" ht="15.75" thickBot="1" x14ac:dyDescent="0.3">
      <c r="B50" s="43" t="s">
        <v>63</v>
      </c>
      <c r="C50" s="51"/>
      <c r="D50" s="45">
        <f>SUM(C47:C49)</f>
        <v>0</v>
      </c>
      <c r="E50" s="33">
        <f>+D50/D23</f>
        <v>0</v>
      </c>
    </row>
    <row r="51" spans="1:7" x14ac:dyDescent="0.25">
      <c r="B51" s="26"/>
      <c r="D51" s="25"/>
    </row>
    <row r="52" spans="1:7" x14ac:dyDescent="0.25">
      <c r="B52" s="26"/>
      <c r="D52" s="25"/>
    </row>
    <row r="53" spans="1:7" ht="15.75" thickBot="1" x14ac:dyDescent="0.3">
      <c r="B53" s="30" t="s">
        <v>67</v>
      </c>
      <c r="C53" s="52"/>
      <c r="D53" s="32">
        <f>+D38+D44+D50</f>
        <v>109480</v>
      </c>
    </row>
    <row r="54" spans="1:7" x14ac:dyDescent="0.25">
      <c r="B54" s="20"/>
      <c r="C54" s="21"/>
      <c r="D54" s="22"/>
    </row>
    <row r="55" spans="1:7" x14ac:dyDescent="0.25">
      <c r="B55" s="26" t="s">
        <v>68</v>
      </c>
      <c r="D55" s="53">
        <f>+D23+D30-D53</f>
        <v>555520</v>
      </c>
    </row>
    <row r="56" spans="1:7" x14ac:dyDescent="0.25">
      <c r="B56" s="26" t="s">
        <v>69</v>
      </c>
      <c r="D56" s="24">
        <v>0</v>
      </c>
    </row>
    <row r="57" spans="1:7" ht="21.75" thickBot="1" x14ac:dyDescent="0.4">
      <c r="A57" s="54"/>
      <c r="B57" s="55" t="s">
        <v>70</v>
      </c>
      <c r="C57" s="56"/>
      <c r="D57" s="57">
        <f>+D55-D56</f>
        <v>555520</v>
      </c>
      <c r="E57" s="54"/>
    </row>
    <row r="58" spans="1:7" ht="21" x14ac:dyDescent="0.35">
      <c r="F58" s="54"/>
      <c r="G58" s="54"/>
    </row>
    <row r="59" spans="1:7" x14ac:dyDescent="0.25">
      <c r="D59" s="11"/>
    </row>
    <row r="60" spans="1:7" x14ac:dyDescent="0.25">
      <c r="D60" s="11"/>
    </row>
    <row r="61" spans="1:7" x14ac:dyDescent="0.25">
      <c r="D61" s="11"/>
    </row>
    <row r="62" spans="1:7" x14ac:dyDescent="0.25">
      <c r="D62" s="11"/>
    </row>
    <row r="63" spans="1:7" x14ac:dyDescent="0.25">
      <c r="D63" s="11"/>
    </row>
  </sheetData>
  <mergeCells count="9">
    <mergeCell ref="B21:B22"/>
    <mergeCell ref="J28:K28"/>
    <mergeCell ref="J30:K30"/>
    <mergeCell ref="F2:G2"/>
    <mergeCell ref="J2:K2"/>
    <mergeCell ref="F10:G10"/>
    <mergeCell ref="J10:K10"/>
    <mergeCell ref="B15:B16"/>
    <mergeCell ref="B18:B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3C63-8293-41A6-BD1C-22911EFB9A99}">
  <dimension ref="A1:K63"/>
  <sheetViews>
    <sheetView showGridLines="0" topLeftCell="A12" workbookViewId="0">
      <selection activeCell="J26" sqref="J26:K42"/>
    </sheetView>
  </sheetViews>
  <sheetFormatPr baseColWidth="10" defaultRowHeight="15" x14ac:dyDescent="0.25"/>
  <cols>
    <col min="2" max="2" width="39.140625" customWidth="1"/>
    <col min="3" max="3" width="28.5703125" customWidth="1"/>
    <col min="4" max="4" width="14.28515625" bestFit="1" customWidth="1"/>
    <col min="6" max="6" width="27" bestFit="1" customWidth="1"/>
    <col min="10" max="10" width="47.5703125" bestFit="1" customWidth="1"/>
    <col min="11" max="11" width="21" customWidth="1"/>
  </cols>
  <sheetData>
    <row r="1" spans="2:11" ht="15.75" thickBot="1" x14ac:dyDescent="0.3"/>
    <row r="2" spans="2:11" ht="15.75" thickBot="1" x14ac:dyDescent="0.3">
      <c r="B2" s="2" t="s">
        <v>73</v>
      </c>
      <c r="F2" s="91" t="s">
        <v>74</v>
      </c>
      <c r="G2" s="92"/>
      <c r="J2" s="91" t="s">
        <v>87</v>
      </c>
      <c r="K2" s="92"/>
    </row>
    <row r="3" spans="2:11" ht="15.75" thickBot="1" x14ac:dyDescent="0.3">
      <c r="F3" s="64">
        <f ca="1">TODAY()</f>
        <v>45418</v>
      </c>
      <c r="G3" s="60">
        <f ca="1">DAYS360(C7,F3)/360</f>
        <v>2.3472222222222223</v>
      </c>
      <c r="J3" s="63" t="s">
        <v>79</v>
      </c>
      <c r="K3" s="63" t="s">
        <v>80</v>
      </c>
    </row>
    <row r="4" spans="2:11" x14ac:dyDescent="0.25">
      <c r="B4" s="17" t="s">
        <v>40</v>
      </c>
      <c r="C4" s="18">
        <v>30</v>
      </c>
      <c r="F4" s="63" t="s">
        <v>89</v>
      </c>
      <c r="G4" s="63" t="s">
        <v>84</v>
      </c>
      <c r="J4" s="62" t="s">
        <v>20</v>
      </c>
      <c r="K4" s="62" t="s">
        <v>81</v>
      </c>
    </row>
    <row r="5" spans="2:11" x14ac:dyDescent="0.25">
      <c r="B5" s="17" t="s">
        <v>41</v>
      </c>
      <c r="C5" s="19" t="s">
        <v>71</v>
      </c>
      <c r="F5" s="63" t="s">
        <v>75</v>
      </c>
      <c r="G5" s="63" t="s">
        <v>77</v>
      </c>
      <c r="J5" s="65" t="s">
        <v>82</v>
      </c>
      <c r="K5" s="65" t="s">
        <v>83</v>
      </c>
    </row>
    <row r="6" spans="2:11" x14ac:dyDescent="0.25">
      <c r="B6" s="17" t="s">
        <v>42</v>
      </c>
      <c r="C6" s="19" t="s">
        <v>43</v>
      </c>
      <c r="F6" s="62" t="s">
        <v>76</v>
      </c>
      <c r="G6" s="62" t="s">
        <v>78</v>
      </c>
      <c r="J6" s="62" t="s">
        <v>84</v>
      </c>
      <c r="K6" s="62" t="s">
        <v>83</v>
      </c>
    </row>
    <row r="7" spans="2:11" x14ac:dyDescent="0.25">
      <c r="B7" s="17" t="s">
        <v>72</v>
      </c>
      <c r="C7" s="58">
        <v>44562</v>
      </c>
      <c r="J7" s="65" t="s">
        <v>85</v>
      </c>
      <c r="K7" s="65" t="s">
        <v>86</v>
      </c>
    </row>
    <row r="8" spans="2:11" x14ac:dyDescent="0.25">
      <c r="B8" s="17" t="s">
        <v>90</v>
      </c>
      <c r="C8" s="66" t="s">
        <v>118</v>
      </c>
      <c r="F8" s="59"/>
      <c r="J8" s="62" t="s">
        <v>88</v>
      </c>
      <c r="K8" s="62" t="s">
        <v>86</v>
      </c>
    </row>
    <row r="9" spans="2:11" ht="15.75" thickBot="1" x14ac:dyDescent="0.3">
      <c r="B9" s="17" t="s">
        <v>92</v>
      </c>
      <c r="C9" s="67">
        <v>20</v>
      </c>
      <c r="F9" s="68"/>
    </row>
    <row r="10" spans="2:11" ht="15.75" thickBot="1" x14ac:dyDescent="0.3">
      <c r="F10" s="93" t="s">
        <v>104</v>
      </c>
      <c r="G10" s="94"/>
      <c r="J10" s="93" t="s">
        <v>105</v>
      </c>
      <c r="K10" s="94"/>
    </row>
    <row r="11" spans="2:11" x14ac:dyDescent="0.25">
      <c r="F11" s="59" t="s">
        <v>93</v>
      </c>
      <c r="G11" s="61">
        <f>2*15</f>
        <v>30</v>
      </c>
    </row>
    <row r="12" spans="2:11" ht="15.75" thickBot="1" x14ac:dyDescent="0.3">
      <c r="F12" s="59" t="s">
        <v>94</v>
      </c>
      <c r="G12" s="61">
        <f>-C9</f>
        <v>-20</v>
      </c>
      <c r="J12" t="s">
        <v>106</v>
      </c>
      <c r="K12" s="61"/>
    </row>
    <row r="13" spans="2:11" x14ac:dyDescent="0.25">
      <c r="B13" s="20"/>
      <c r="C13" s="21"/>
      <c r="D13" s="22"/>
      <c r="F13" s="59" t="s">
        <v>95</v>
      </c>
      <c r="G13" s="61">
        <f>1.25*3</f>
        <v>3.75</v>
      </c>
      <c r="J13" s="1" t="s">
        <v>108</v>
      </c>
      <c r="K13" s="15"/>
    </row>
    <row r="14" spans="2:11" ht="15.75" thickBot="1" x14ac:dyDescent="0.3">
      <c r="B14" s="23" t="s">
        <v>44</v>
      </c>
      <c r="D14" s="24">
        <v>460000</v>
      </c>
      <c r="F14" s="59" t="s">
        <v>96</v>
      </c>
      <c r="G14" s="71">
        <f>1.25/30*28</f>
        <v>1.1666666666666665</v>
      </c>
      <c r="J14" t="s">
        <v>107</v>
      </c>
    </row>
    <row r="15" spans="2:11" ht="15.75" thickBot="1" x14ac:dyDescent="0.3">
      <c r="B15" s="89" t="s">
        <v>45</v>
      </c>
      <c r="C15" t="s">
        <v>46</v>
      </c>
      <c r="D15" s="24">
        <f>+D14*0.25</f>
        <v>115000</v>
      </c>
      <c r="F15" s="69" t="s">
        <v>97</v>
      </c>
      <c r="G15" s="72">
        <f>SUM(G11:G14)</f>
        <v>14.916666666666666</v>
      </c>
      <c r="J15" s="6" t="s">
        <v>109</v>
      </c>
      <c r="K15" s="77">
        <f>+K13+K14</f>
        <v>0</v>
      </c>
    </row>
    <row r="16" spans="2:11" ht="15.75" thickBot="1" x14ac:dyDescent="0.3">
      <c r="B16" s="90"/>
      <c r="D16" s="25"/>
      <c r="F16" s="70" t="s">
        <v>98</v>
      </c>
      <c r="G16" s="73">
        <v>15</v>
      </c>
    </row>
    <row r="17" spans="2:11" ht="15.75" thickBot="1" x14ac:dyDescent="0.3">
      <c r="B17" s="26"/>
      <c r="D17" s="25"/>
      <c r="F17" s="59" t="s">
        <v>100</v>
      </c>
      <c r="G17" s="61">
        <v>8</v>
      </c>
      <c r="J17" s="6" t="s">
        <v>110</v>
      </c>
      <c r="K17" s="13">
        <f>+K15*K12</f>
        <v>0</v>
      </c>
    </row>
    <row r="18" spans="2:11" x14ac:dyDescent="0.25">
      <c r="B18" s="89" t="s">
        <v>47</v>
      </c>
      <c r="C18" s="27">
        <v>3000000</v>
      </c>
      <c r="D18" s="25"/>
      <c r="F18" s="74" t="s">
        <v>99</v>
      </c>
      <c r="G18" s="75">
        <f>+G16+G17</f>
        <v>23</v>
      </c>
    </row>
    <row r="19" spans="2:11" x14ac:dyDescent="0.25">
      <c r="B19" s="90"/>
      <c r="C19" s="28"/>
      <c r="D19" s="24">
        <f>+C18*C19</f>
        <v>0</v>
      </c>
    </row>
    <row r="20" spans="2:11" x14ac:dyDescent="0.25">
      <c r="B20" s="26"/>
      <c r="D20" s="24"/>
    </row>
    <row r="21" spans="2:11" x14ac:dyDescent="0.25">
      <c r="B21" s="89" t="s">
        <v>48</v>
      </c>
      <c r="C21" s="28"/>
      <c r="D21" s="24"/>
      <c r="F21" s="2" t="s">
        <v>101</v>
      </c>
    </row>
    <row r="22" spans="2:11" x14ac:dyDescent="0.25">
      <c r="B22" s="90"/>
      <c r="C22" s="29">
        <v>7.7777000000000002E-3</v>
      </c>
      <c r="D22" s="24">
        <f>+D14*C22*C21</f>
        <v>0</v>
      </c>
      <c r="F22" t="s">
        <v>44</v>
      </c>
      <c r="G22" s="15">
        <f>+D14</f>
        <v>460000</v>
      </c>
    </row>
    <row r="23" spans="2:11" ht="15.75" thickBot="1" x14ac:dyDescent="0.3">
      <c r="B23" s="30" t="s">
        <v>49</v>
      </c>
      <c r="C23" s="31"/>
      <c r="D23" s="32">
        <f>+D14+D15+D19+D22</f>
        <v>575000</v>
      </c>
      <c r="F23" t="s">
        <v>102</v>
      </c>
      <c r="G23">
        <f>+G22/30</f>
        <v>15333.333333333334</v>
      </c>
    </row>
    <row r="24" spans="2:11" x14ac:dyDescent="0.25">
      <c r="B24" s="20"/>
      <c r="C24" s="21"/>
      <c r="D24" s="22"/>
      <c r="F24" s="76" t="s">
        <v>103</v>
      </c>
      <c r="G24" s="76">
        <f>+G23*G18</f>
        <v>352666.66666666669</v>
      </c>
    </row>
    <row r="25" spans="2:11" x14ac:dyDescent="0.25">
      <c r="B25" s="26" t="s">
        <v>50</v>
      </c>
      <c r="D25" s="24">
        <v>45000</v>
      </c>
      <c r="E25" s="33"/>
    </row>
    <row r="26" spans="2:11" x14ac:dyDescent="0.25">
      <c r="B26" s="26" t="s">
        <v>51</v>
      </c>
      <c r="D26" s="24">
        <v>45000</v>
      </c>
    </row>
    <row r="27" spans="2:11" x14ac:dyDescent="0.25">
      <c r="B27" s="26" t="s">
        <v>52</v>
      </c>
      <c r="D27" s="24">
        <f>+C27*2</f>
        <v>0</v>
      </c>
    </row>
    <row r="28" spans="2:11" ht="15.75" thickBot="1" x14ac:dyDescent="0.3">
      <c r="B28" s="26"/>
      <c r="D28" s="24"/>
      <c r="J28" s="85" t="str">
        <f>C8</f>
        <v>ART 159 "Reuncia Voluntaria"</v>
      </c>
      <c r="K28" s="85"/>
    </row>
    <row r="29" spans="2:11" ht="15.75" thickTop="1" x14ac:dyDescent="0.25">
      <c r="B29" s="26"/>
      <c r="D29" s="24"/>
    </row>
    <row r="30" spans="2:11" ht="15.75" thickBot="1" x14ac:dyDescent="0.3">
      <c r="B30" s="30" t="s">
        <v>53</v>
      </c>
      <c r="C30" s="31"/>
      <c r="D30" s="32">
        <f>SUM(D25:D29)</f>
        <v>90000</v>
      </c>
      <c r="J30" s="88" t="s">
        <v>111</v>
      </c>
      <c r="K30" s="88"/>
    </row>
    <row r="31" spans="2:11" ht="15.75" thickBot="1" x14ac:dyDescent="0.3">
      <c r="B31" s="34" t="s">
        <v>54</v>
      </c>
      <c r="C31" s="35"/>
      <c r="D31" s="36">
        <f>+D23+D30</f>
        <v>665000</v>
      </c>
      <c r="J31" t="s">
        <v>112</v>
      </c>
      <c r="K31" s="11">
        <f>+D57</f>
        <v>555520</v>
      </c>
    </row>
    <row r="32" spans="2:11" x14ac:dyDescent="0.25">
      <c r="B32" s="20"/>
      <c r="C32" s="21"/>
      <c r="D32" s="22"/>
      <c r="J32" t="s">
        <v>113</v>
      </c>
      <c r="K32" s="11">
        <f>+G24</f>
        <v>352666.66666666669</v>
      </c>
    </row>
    <row r="33" spans="2:11" x14ac:dyDescent="0.25">
      <c r="B33" s="37" t="s">
        <v>55</v>
      </c>
      <c r="D33" s="25"/>
      <c r="K33" s="11"/>
    </row>
    <row r="34" spans="2:11" x14ac:dyDescent="0.25">
      <c r="B34" s="26" t="s">
        <v>56</v>
      </c>
      <c r="C34" s="14">
        <v>0.1144</v>
      </c>
      <c r="D34" s="25"/>
      <c r="E34" s="15">
        <f>+C34*$D$23</f>
        <v>65780</v>
      </c>
      <c r="K34" s="11"/>
    </row>
    <row r="35" spans="2:11" x14ac:dyDescent="0.25">
      <c r="B35" s="26" t="s">
        <v>57</v>
      </c>
      <c r="C35" s="14">
        <v>6.0000000000000001E-3</v>
      </c>
      <c r="D35" s="25"/>
      <c r="E35" s="15">
        <f>+C35*$D$23</f>
        <v>3450</v>
      </c>
      <c r="G35" s="14"/>
      <c r="K35" s="78"/>
    </row>
    <row r="36" spans="2:11" ht="15.75" thickBot="1" x14ac:dyDescent="0.3">
      <c r="B36" s="37" t="s">
        <v>56</v>
      </c>
      <c r="C36" s="38">
        <f>SUM(C34:C35)</f>
        <v>0.12040000000000001</v>
      </c>
      <c r="D36" s="39">
        <f>+D23*C36</f>
        <v>69230</v>
      </c>
      <c r="E36" s="15"/>
      <c r="J36" s="79" t="s">
        <v>117</v>
      </c>
      <c r="K36" s="80">
        <f>SUM(K31:K35)</f>
        <v>908186.66666666674</v>
      </c>
    </row>
    <row r="37" spans="2:11" ht="15.75" thickTop="1" x14ac:dyDescent="0.25">
      <c r="B37" s="40" t="s">
        <v>58</v>
      </c>
      <c r="C37" s="41">
        <v>7.0000000000000007E-2</v>
      </c>
      <c r="D37" s="42">
        <f>+D23*C37</f>
        <v>40250.000000000007</v>
      </c>
      <c r="E37" s="15">
        <f>+C37*$D$23</f>
        <v>40250.000000000007</v>
      </c>
      <c r="K37" s="11"/>
    </row>
    <row r="38" spans="2:11" ht="15.75" thickBot="1" x14ac:dyDescent="0.3">
      <c r="B38" s="43" t="s">
        <v>55</v>
      </c>
      <c r="C38" s="44"/>
      <c r="D38" s="45">
        <f>+D36+D37</f>
        <v>109480</v>
      </c>
      <c r="K38" s="11"/>
    </row>
    <row r="39" spans="2:11" x14ac:dyDescent="0.25">
      <c r="B39" s="20"/>
      <c r="C39" s="21"/>
      <c r="D39" s="22"/>
    </row>
    <row r="40" spans="2:11" x14ac:dyDescent="0.25">
      <c r="B40" s="37" t="s">
        <v>59</v>
      </c>
      <c r="D40" s="25"/>
    </row>
    <row r="41" spans="2:11" x14ac:dyDescent="0.25">
      <c r="B41" s="26" t="s">
        <v>60</v>
      </c>
      <c r="C41" s="15">
        <f>+D23</f>
        <v>575000</v>
      </c>
      <c r="D41" s="25"/>
    </row>
    <row r="42" spans="2:11" x14ac:dyDescent="0.25">
      <c r="B42" s="26" t="s">
        <v>61</v>
      </c>
      <c r="C42" s="15">
        <f>-D38</f>
        <v>-109480</v>
      </c>
      <c r="D42" s="25"/>
    </row>
    <row r="43" spans="2:11" x14ac:dyDescent="0.25">
      <c r="B43" s="46" t="s">
        <v>62</v>
      </c>
      <c r="C43" s="47">
        <f>SUM(C41:C42)</f>
        <v>465520</v>
      </c>
      <c r="D43" s="48"/>
    </row>
    <row r="44" spans="2:11" ht="15.75" thickBot="1" x14ac:dyDescent="0.3">
      <c r="B44" s="43" t="s">
        <v>59</v>
      </c>
      <c r="C44" s="44"/>
      <c r="D44" s="49">
        <v>0</v>
      </c>
    </row>
    <row r="45" spans="2:11" x14ac:dyDescent="0.25">
      <c r="B45" s="20"/>
      <c r="C45" s="21"/>
      <c r="D45" s="22"/>
    </row>
    <row r="46" spans="2:11" x14ac:dyDescent="0.25">
      <c r="B46" s="37" t="s">
        <v>63</v>
      </c>
      <c r="D46" s="25"/>
    </row>
    <row r="47" spans="2:11" x14ac:dyDescent="0.25">
      <c r="B47" s="26" t="s">
        <v>64</v>
      </c>
      <c r="C47" s="27">
        <v>0</v>
      </c>
      <c r="D47" s="25"/>
    </row>
    <row r="48" spans="2:11" x14ac:dyDescent="0.25">
      <c r="B48" s="26" t="s">
        <v>65</v>
      </c>
      <c r="C48" s="27">
        <v>0</v>
      </c>
      <c r="D48" s="25"/>
    </row>
    <row r="49" spans="1:7" x14ac:dyDescent="0.25">
      <c r="B49" s="40" t="s">
        <v>66</v>
      </c>
      <c r="C49" s="50">
        <v>0</v>
      </c>
      <c r="D49" s="48"/>
    </row>
    <row r="50" spans="1:7" ht="15.75" thickBot="1" x14ac:dyDescent="0.3">
      <c r="B50" s="43" t="s">
        <v>63</v>
      </c>
      <c r="C50" s="51"/>
      <c r="D50" s="45">
        <f>SUM(C47:C49)</f>
        <v>0</v>
      </c>
      <c r="E50" s="33">
        <f>+D50/D23</f>
        <v>0</v>
      </c>
    </row>
    <row r="51" spans="1:7" x14ac:dyDescent="0.25">
      <c r="B51" s="26"/>
      <c r="D51" s="25"/>
    </row>
    <row r="52" spans="1:7" x14ac:dyDescent="0.25">
      <c r="B52" s="26"/>
      <c r="D52" s="25"/>
    </row>
    <row r="53" spans="1:7" ht="15.75" thickBot="1" x14ac:dyDescent="0.3">
      <c r="B53" s="30" t="s">
        <v>67</v>
      </c>
      <c r="C53" s="52"/>
      <c r="D53" s="32">
        <f>+D38+D44+D50</f>
        <v>109480</v>
      </c>
    </row>
    <row r="54" spans="1:7" x14ac:dyDescent="0.25">
      <c r="B54" s="20"/>
      <c r="C54" s="21"/>
      <c r="D54" s="22"/>
    </row>
    <row r="55" spans="1:7" x14ac:dyDescent="0.25">
      <c r="B55" s="26" t="s">
        <v>68</v>
      </c>
      <c r="D55" s="53">
        <f>+D23+D30-D53</f>
        <v>555520</v>
      </c>
    </row>
    <row r="56" spans="1:7" x14ac:dyDescent="0.25">
      <c r="B56" s="26" t="s">
        <v>69</v>
      </c>
      <c r="D56" s="24">
        <v>0</v>
      </c>
    </row>
    <row r="57" spans="1:7" ht="21.75" thickBot="1" x14ac:dyDescent="0.4">
      <c r="A57" s="54"/>
      <c r="B57" s="55" t="s">
        <v>70</v>
      </c>
      <c r="C57" s="56"/>
      <c r="D57" s="57">
        <f>+D55-D56</f>
        <v>555520</v>
      </c>
      <c r="E57" s="54"/>
    </row>
    <row r="58" spans="1:7" ht="21" x14ac:dyDescent="0.35">
      <c r="F58" s="54"/>
      <c r="G58" s="54"/>
    </row>
    <row r="59" spans="1:7" x14ac:dyDescent="0.25">
      <c r="D59" s="11"/>
    </row>
    <row r="60" spans="1:7" x14ac:dyDescent="0.25">
      <c r="D60" s="11"/>
    </row>
    <row r="61" spans="1:7" x14ac:dyDescent="0.25">
      <c r="D61" s="11"/>
    </row>
    <row r="62" spans="1:7" x14ac:dyDescent="0.25">
      <c r="D62" s="11"/>
    </row>
    <row r="63" spans="1:7" x14ac:dyDescent="0.25">
      <c r="D63" s="11"/>
    </row>
  </sheetData>
  <mergeCells count="9">
    <mergeCell ref="B21:B22"/>
    <mergeCell ref="J28:K28"/>
    <mergeCell ref="J30:K30"/>
    <mergeCell ref="F2:G2"/>
    <mergeCell ref="J2:K2"/>
    <mergeCell ref="F10:G10"/>
    <mergeCell ref="J10:K10"/>
    <mergeCell ref="B15:B16"/>
    <mergeCell ref="B18:B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30A9-FEC1-4C12-BE6A-63A6358893C5}">
  <dimension ref="A1:K63"/>
  <sheetViews>
    <sheetView showGridLines="0" tabSelected="1" topLeftCell="A9" workbookViewId="0">
      <selection activeCell="J28" sqref="J28:K36"/>
    </sheetView>
  </sheetViews>
  <sheetFormatPr baseColWidth="10" defaultRowHeight="15" x14ac:dyDescent="0.25"/>
  <cols>
    <col min="2" max="2" width="39.140625" customWidth="1"/>
    <col min="3" max="3" width="28.5703125" customWidth="1"/>
    <col min="4" max="4" width="14.28515625" bestFit="1" customWidth="1"/>
    <col min="6" max="6" width="27" bestFit="1" customWidth="1"/>
    <col min="10" max="10" width="47.5703125" bestFit="1" customWidth="1"/>
    <col min="11" max="11" width="21" customWidth="1"/>
  </cols>
  <sheetData>
    <row r="1" spans="2:11" ht="15.75" thickBot="1" x14ac:dyDescent="0.3"/>
    <row r="2" spans="2:11" ht="15.75" thickBot="1" x14ac:dyDescent="0.3">
      <c r="B2" s="2" t="s">
        <v>73</v>
      </c>
      <c r="F2" s="91" t="s">
        <v>74</v>
      </c>
      <c r="G2" s="92"/>
      <c r="J2" s="91" t="s">
        <v>87</v>
      </c>
      <c r="K2" s="92"/>
    </row>
    <row r="3" spans="2:11" ht="15.75" thickBot="1" x14ac:dyDescent="0.3">
      <c r="F3" s="64">
        <f ca="1">TODAY()</f>
        <v>45418</v>
      </c>
      <c r="G3" s="60">
        <f ca="1">DAYS360(C7,F3)/360</f>
        <v>2.3472222222222223</v>
      </c>
      <c r="J3" s="63" t="s">
        <v>79</v>
      </c>
      <c r="K3" s="63" t="s">
        <v>80</v>
      </c>
    </row>
    <row r="4" spans="2:11" x14ac:dyDescent="0.25">
      <c r="B4" s="17" t="s">
        <v>40</v>
      </c>
      <c r="C4" s="18">
        <v>30</v>
      </c>
      <c r="F4" s="63" t="s">
        <v>89</v>
      </c>
      <c r="G4" s="63" t="s">
        <v>84</v>
      </c>
      <c r="J4" s="62" t="s">
        <v>20</v>
      </c>
      <c r="K4" s="62" t="s">
        <v>81</v>
      </c>
    </row>
    <row r="5" spans="2:11" x14ac:dyDescent="0.25">
      <c r="B5" s="17" t="s">
        <v>41</v>
      </c>
      <c r="C5" s="19" t="s">
        <v>71</v>
      </c>
      <c r="F5" s="63" t="s">
        <v>75</v>
      </c>
      <c r="G5" s="63" t="s">
        <v>77</v>
      </c>
      <c r="J5" s="65" t="s">
        <v>82</v>
      </c>
      <c r="K5" s="65" t="s">
        <v>83</v>
      </c>
    </row>
    <row r="6" spans="2:11" x14ac:dyDescent="0.25">
      <c r="B6" s="17" t="s">
        <v>42</v>
      </c>
      <c r="C6" s="19" t="s">
        <v>43</v>
      </c>
      <c r="F6" s="62" t="s">
        <v>76</v>
      </c>
      <c r="G6" s="62" t="s">
        <v>78</v>
      </c>
      <c r="J6" s="62" t="s">
        <v>84</v>
      </c>
      <c r="K6" s="62" t="s">
        <v>83</v>
      </c>
    </row>
    <row r="7" spans="2:11" x14ac:dyDescent="0.25">
      <c r="B7" s="17" t="s">
        <v>72</v>
      </c>
      <c r="C7" s="58">
        <v>44562</v>
      </c>
      <c r="J7" s="65" t="s">
        <v>85</v>
      </c>
      <c r="K7" s="65" t="s">
        <v>86</v>
      </c>
    </row>
    <row r="8" spans="2:11" x14ac:dyDescent="0.25">
      <c r="B8" s="17" t="s">
        <v>90</v>
      </c>
      <c r="C8" s="66" t="s">
        <v>119</v>
      </c>
      <c r="F8" s="59"/>
      <c r="J8" s="62" t="s">
        <v>88</v>
      </c>
      <c r="K8" s="62" t="s">
        <v>86</v>
      </c>
    </row>
    <row r="9" spans="2:11" ht="15.75" thickBot="1" x14ac:dyDescent="0.3">
      <c r="B9" s="17" t="s">
        <v>92</v>
      </c>
      <c r="C9" s="67">
        <v>20</v>
      </c>
      <c r="F9" s="68"/>
    </row>
    <row r="10" spans="2:11" ht="15.75" thickBot="1" x14ac:dyDescent="0.3">
      <c r="F10" s="93" t="s">
        <v>104</v>
      </c>
      <c r="G10" s="94"/>
      <c r="J10" s="93" t="s">
        <v>105</v>
      </c>
      <c r="K10" s="94"/>
    </row>
    <row r="11" spans="2:11" x14ac:dyDescent="0.25">
      <c r="F11" s="59" t="s">
        <v>93</v>
      </c>
      <c r="G11" s="61">
        <f>2*15</f>
        <v>30</v>
      </c>
    </row>
    <row r="12" spans="2:11" ht="15.75" thickBot="1" x14ac:dyDescent="0.3">
      <c r="F12" s="59" t="s">
        <v>94</v>
      </c>
      <c r="G12" s="61">
        <f>-C9</f>
        <v>-20</v>
      </c>
      <c r="J12" t="s">
        <v>106</v>
      </c>
      <c r="K12" s="61"/>
    </row>
    <row r="13" spans="2:11" x14ac:dyDescent="0.25">
      <c r="B13" s="20"/>
      <c r="C13" s="21"/>
      <c r="D13" s="22"/>
      <c r="F13" s="59" t="s">
        <v>95</v>
      </c>
      <c r="G13" s="61">
        <f>1.25*3</f>
        <v>3.75</v>
      </c>
      <c r="J13" s="1" t="s">
        <v>108</v>
      </c>
      <c r="K13" s="15"/>
    </row>
    <row r="14" spans="2:11" ht="15.75" thickBot="1" x14ac:dyDescent="0.3">
      <c r="B14" s="23" t="s">
        <v>44</v>
      </c>
      <c r="D14" s="24">
        <v>460000</v>
      </c>
      <c r="F14" s="59" t="s">
        <v>96</v>
      </c>
      <c r="G14" s="71">
        <f>1.25/30*28</f>
        <v>1.1666666666666665</v>
      </c>
      <c r="J14" t="s">
        <v>107</v>
      </c>
    </row>
    <row r="15" spans="2:11" ht="15.75" thickBot="1" x14ac:dyDescent="0.3">
      <c r="B15" s="89" t="s">
        <v>45</v>
      </c>
      <c r="C15" t="s">
        <v>46</v>
      </c>
      <c r="D15" s="24">
        <f>+D14*0.25</f>
        <v>115000</v>
      </c>
      <c r="F15" s="69" t="s">
        <v>97</v>
      </c>
      <c r="G15" s="72">
        <f>SUM(G11:G14)</f>
        <v>14.916666666666666</v>
      </c>
      <c r="J15" s="6" t="s">
        <v>109</v>
      </c>
      <c r="K15" s="77">
        <f>+K13+K14</f>
        <v>0</v>
      </c>
    </row>
    <row r="16" spans="2:11" ht="15.75" thickBot="1" x14ac:dyDescent="0.3">
      <c r="B16" s="90"/>
      <c r="D16" s="25"/>
      <c r="F16" s="70" t="s">
        <v>98</v>
      </c>
      <c r="G16" s="73">
        <v>15</v>
      </c>
    </row>
    <row r="17" spans="2:11" ht="15.75" thickBot="1" x14ac:dyDescent="0.3">
      <c r="B17" s="26"/>
      <c r="D17" s="25"/>
      <c r="F17" s="59" t="s">
        <v>100</v>
      </c>
      <c r="G17" s="61">
        <v>8</v>
      </c>
      <c r="J17" s="6" t="s">
        <v>110</v>
      </c>
      <c r="K17" s="13">
        <f>+K15*K12</f>
        <v>0</v>
      </c>
    </row>
    <row r="18" spans="2:11" x14ac:dyDescent="0.25">
      <c r="B18" s="89" t="s">
        <v>47</v>
      </c>
      <c r="C18" s="27">
        <v>3000000</v>
      </c>
      <c r="D18" s="25"/>
      <c r="F18" s="74" t="s">
        <v>99</v>
      </c>
      <c r="G18" s="75">
        <f>+G16+G17</f>
        <v>23</v>
      </c>
    </row>
    <row r="19" spans="2:11" x14ac:dyDescent="0.25">
      <c r="B19" s="90"/>
      <c r="C19" s="28"/>
      <c r="D19" s="24">
        <f>+C18*C19</f>
        <v>0</v>
      </c>
    </row>
    <row r="20" spans="2:11" x14ac:dyDescent="0.25">
      <c r="B20" s="26"/>
      <c r="D20" s="24"/>
    </row>
    <row r="21" spans="2:11" x14ac:dyDescent="0.25">
      <c r="B21" s="89" t="s">
        <v>48</v>
      </c>
      <c r="C21" s="28"/>
      <c r="D21" s="24"/>
      <c r="F21" s="2" t="s">
        <v>101</v>
      </c>
    </row>
    <row r="22" spans="2:11" x14ac:dyDescent="0.25">
      <c r="B22" s="90"/>
      <c r="C22" s="29">
        <v>7.7777000000000002E-3</v>
      </c>
      <c r="D22" s="24">
        <f>+D14*C22*C21</f>
        <v>0</v>
      </c>
      <c r="F22" t="s">
        <v>44</v>
      </c>
      <c r="G22" s="15">
        <f>+D14</f>
        <v>460000</v>
      </c>
    </row>
    <row r="23" spans="2:11" ht="15.75" thickBot="1" x14ac:dyDescent="0.3">
      <c r="B23" s="30" t="s">
        <v>49</v>
      </c>
      <c r="C23" s="31"/>
      <c r="D23" s="32">
        <f>+D14+D15+D19+D22</f>
        <v>575000</v>
      </c>
      <c r="F23" t="s">
        <v>102</v>
      </c>
      <c r="G23">
        <f>+G22/30</f>
        <v>15333.333333333334</v>
      </c>
    </row>
    <row r="24" spans="2:11" x14ac:dyDescent="0.25">
      <c r="B24" s="20"/>
      <c r="C24" s="21"/>
      <c r="D24" s="22"/>
      <c r="F24" s="76" t="s">
        <v>103</v>
      </c>
      <c r="G24" s="76">
        <f>+G23*G18</f>
        <v>352666.66666666669</v>
      </c>
    </row>
    <row r="25" spans="2:11" x14ac:dyDescent="0.25">
      <c r="B25" s="26" t="s">
        <v>50</v>
      </c>
      <c r="D25" s="24">
        <v>45000</v>
      </c>
      <c r="E25" s="33"/>
    </row>
    <row r="26" spans="2:11" x14ac:dyDescent="0.25">
      <c r="B26" s="26" t="s">
        <v>51</v>
      </c>
      <c r="D26" s="24">
        <v>45000</v>
      </c>
    </row>
    <row r="27" spans="2:11" x14ac:dyDescent="0.25">
      <c r="B27" s="26" t="s">
        <v>52</v>
      </c>
      <c r="D27" s="24">
        <f>+C27*2</f>
        <v>0</v>
      </c>
    </row>
    <row r="28" spans="2:11" ht="15.75" thickBot="1" x14ac:dyDescent="0.3">
      <c r="B28" s="26"/>
      <c r="D28" s="24"/>
      <c r="J28" s="85" t="str">
        <f>C8</f>
        <v>Causal art 160</v>
      </c>
      <c r="K28" s="85"/>
    </row>
    <row r="29" spans="2:11" ht="15.75" thickTop="1" x14ac:dyDescent="0.25">
      <c r="B29" s="26"/>
      <c r="D29" s="24"/>
    </row>
    <row r="30" spans="2:11" ht="15.75" thickBot="1" x14ac:dyDescent="0.3">
      <c r="B30" s="30" t="s">
        <v>53</v>
      </c>
      <c r="C30" s="31"/>
      <c r="D30" s="32">
        <f>SUM(D25:D29)</f>
        <v>90000</v>
      </c>
      <c r="J30" s="88" t="s">
        <v>111</v>
      </c>
      <c r="K30" s="88"/>
    </row>
    <row r="31" spans="2:11" ht="15.75" thickBot="1" x14ac:dyDescent="0.3">
      <c r="B31" s="34" t="s">
        <v>54</v>
      </c>
      <c r="C31" s="35"/>
      <c r="D31" s="36">
        <f>+D23+D30</f>
        <v>665000</v>
      </c>
      <c r="J31" t="s">
        <v>112</v>
      </c>
      <c r="K31" s="11">
        <f>+D57</f>
        <v>555520</v>
      </c>
    </row>
    <row r="32" spans="2:11" x14ac:dyDescent="0.25">
      <c r="B32" s="20"/>
      <c r="C32" s="21"/>
      <c r="D32" s="22"/>
      <c r="J32" t="s">
        <v>113</v>
      </c>
      <c r="K32" s="11">
        <f>+G24</f>
        <v>352666.66666666669</v>
      </c>
    </row>
    <row r="33" spans="2:11" x14ac:dyDescent="0.25">
      <c r="B33" s="37" t="s">
        <v>55</v>
      </c>
      <c r="D33" s="25"/>
      <c r="K33" s="11"/>
    </row>
    <row r="34" spans="2:11" x14ac:dyDescent="0.25">
      <c r="B34" s="26" t="s">
        <v>56</v>
      </c>
      <c r="C34" s="14">
        <v>0.1144</v>
      </c>
      <c r="D34" s="25"/>
      <c r="E34" s="15">
        <f>+C34*$D$23</f>
        <v>65780</v>
      </c>
      <c r="K34" s="11"/>
    </row>
    <row r="35" spans="2:11" x14ac:dyDescent="0.25">
      <c r="B35" s="26" t="s">
        <v>57</v>
      </c>
      <c r="C35" s="14">
        <v>6.0000000000000001E-3</v>
      </c>
      <c r="D35" s="25"/>
      <c r="E35" s="15">
        <f>+C35*$D$23</f>
        <v>3450</v>
      </c>
      <c r="G35" s="14"/>
      <c r="K35" s="78"/>
    </row>
    <row r="36" spans="2:11" ht="15.75" thickBot="1" x14ac:dyDescent="0.3">
      <c r="B36" s="37" t="s">
        <v>56</v>
      </c>
      <c r="C36" s="38">
        <f>SUM(C34:C35)</f>
        <v>0.12040000000000001</v>
      </c>
      <c r="D36" s="39">
        <f>+D23*C36</f>
        <v>69230</v>
      </c>
      <c r="E36" s="15"/>
      <c r="J36" s="79" t="s">
        <v>117</v>
      </c>
      <c r="K36" s="80">
        <f>SUM(K31:K35)</f>
        <v>908186.66666666674</v>
      </c>
    </row>
    <row r="37" spans="2:11" ht="15.75" thickTop="1" x14ac:dyDescent="0.25">
      <c r="B37" s="40" t="s">
        <v>58</v>
      </c>
      <c r="C37" s="41">
        <v>7.0000000000000007E-2</v>
      </c>
      <c r="D37" s="42">
        <f>+D23*C37</f>
        <v>40250.000000000007</v>
      </c>
      <c r="E37" s="15">
        <f>+C37*$D$23</f>
        <v>40250.000000000007</v>
      </c>
      <c r="K37" s="11"/>
    </row>
    <row r="38" spans="2:11" ht="15.75" thickBot="1" x14ac:dyDescent="0.3">
      <c r="B38" s="43" t="s">
        <v>55</v>
      </c>
      <c r="C38" s="44"/>
      <c r="D38" s="45">
        <f>+D36+D37</f>
        <v>109480</v>
      </c>
      <c r="K38" s="11"/>
    </row>
    <row r="39" spans="2:11" x14ac:dyDescent="0.25">
      <c r="B39" s="20"/>
      <c r="C39" s="21"/>
      <c r="D39" s="22"/>
    </row>
    <row r="40" spans="2:11" x14ac:dyDescent="0.25">
      <c r="B40" s="37" t="s">
        <v>59</v>
      </c>
      <c r="D40" s="25"/>
    </row>
    <row r="41" spans="2:11" x14ac:dyDescent="0.25">
      <c r="B41" s="26" t="s">
        <v>60</v>
      </c>
      <c r="C41" s="15">
        <f>+D23</f>
        <v>575000</v>
      </c>
      <c r="D41" s="25"/>
    </row>
    <row r="42" spans="2:11" x14ac:dyDescent="0.25">
      <c r="B42" s="26" t="s">
        <v>61</v>
      </c>
      <c r="C42" s="15">
        <f>-D38</f>
        <v>-109480</v>
      </c>
      <c r="D42" s="25"/>
    </row>
    <row r="43" spans="2:11" x14ac:dyDescent="0.25">
      <c r="B43" s="46" t="s">
        <v>62</v>
      </c>
      <c r="C43" s="47">
        <f>SUM(C41:C42)</f>
        <v>465520</v>
      </c>
      <c r="D43" s="48"/>
    </row>
    <row r="44" spans="2:11" ht="15.75" thickBot="1" x14ac:dyDescent="0.3">
      <c r="B44" s="43" t="s">
        <v>59</v>
      </c>
      <c r="C44" s="44"/>
      <c r="D44" s="49">
        <v>0</v>
      </c>
    </row>
    <row r="45" spans="2:11" x14ac:dyDescent="0.25">
      <c r="B45" s="20"/>
      <c r="C45" s="21"/>
      <c r="D45" s="22"/>
    </row>
    <row r="46" spans="2:11" x14ac:dyDescent="0.25">
      <c r="B46" s="37" t="s">
        <v>63</v>
      </c>
      <c r="D46" s="25"/>
    </row>
    <row r="47" spans="2:11" x14ac:dyDescent="0.25">
      <c r="B47" s="26" t="s">
        <v>64</v>
      </c>
      <c r="C47" s="27">
        <v>0</v>
      </c>
      <c r="D47" s="25"/>
    </row>
    <row r="48" spans="2:11" x14ac:dyDescent="0.25">
      <c r="B48" s="26" t="s">
        <v>65</v>
      </c>
      <c r="C48" s="27">
        <v>0</v>
      </c>
      <c r="D48" s="25"/>
    </row>
    <row r="49" spans="1:7" x14ac:dyDescent="0.25">
      <c r="B49" s="40" t="s">
        <v>66</v>
      </c>
      <c r="C49" s="50">
        <v>0</v>
      </c>
      <c r="D49" s="48"/>
    </row>
    <row r="50" spans="1:7" ht="15.75" thickBot="1" x14ac:dyDescent="0.3">
      <c r="B50" s="43" t="s">
        <v>63</v>
      </c>
      <c r="C50" s="51"/>
      <c r="D50" s="45">
        <f>SUM(C47:C49)</f>
        <v>0</v>
      </c>
      <c r="E50" s="33">
        <f>+D50/D23</f>
        <v>0</v>
      </c>
    </row>
    <row r="51" spans="1:7" x14ac:dyDescent="0.25">
      <c r="B51" s="26"/>
      <c r="D51" s="25"/>
    </row>
    <row r="52" spans="1:7" x14ac:dyDescent="0.25">
      <c r="B52" s="26"/>
      <c r="D52" s="25"/>
    </row>
    <row r="53" spans="1:7" ht="15.75" thickBot="1" x14ac:dyDescent="0.3">
      <c r="B53" s="30" t="s">
        <v>67</v>
      </c>
      <c r="C53" s="52"/>
      <c r="D53" s="32">
        <f>+D38+D44+D50</f>
        <v>109480</v>
      </c>
    </row>
    <row r="54" spans="1:7" x14ac:dyDescent="0.25">
      <c r="B54" s="20"/>
      <c r="C54" s="21"/>
      <c r="D54" s="22"/>
    </row>
    <row r="55" spans="1:7" x14ac:dyDescent="0.25">
      <c r="B55" s="26" t="s">
        <v>68</v>
      </c>
      <c r="D55" s="53">
        <f>+D23+D30-D53</f>
        <v>555520</v>
      </c>
    </row>
    <row r="56" spans="1:7" x14ac:dyDescent="0.25">
      <c r="B56" s="26" t="s">
        <v>69</v>
      </c>
      <c r="D56" s="24">
        <v>0</v>
      </c>
    </row>
    <row r="57" spans="1:7" ht="21.75" thickBot="1" x14ac:dyDescent="0.4">
      <c r="A57" s="54"/>
      <c r="B57" s="55" t="s">
        <v>70</v>
      </c>
      <c r="C57" s="56"/>
      <c r="D57" s="57">
        <f>+D55-D56</f>
        <v>555520</v>
      </c>
      <c r="E57" s="54"/>
    </row>
    <row r="58" spans="1:7" ht="21" x14ac:dyDescent="0.35">
      <c r="F58" s="54"/>
      <c r="G58" s="54"/>
    </row>
    <row r="59" spans="1:7" x14ac:dyDescent="0.25">
      <c r="D59" s="11"/>
    </row>
    <row r="60" spans="1:7" x14ac:dyDescent="0.25">
      <c r="D60" s="11"/>
    </row>
    <row r="61" spans="1:7" x14ac:dyDescent="0.25">
      <c r="D61" s="11"/>
    </row>
    <row r="62" spans="1:7" x14ac:dyDescent="0.25">
      <c r="D62" s="11"/>
    </row>
    <row r="63" spans="1:7" x14ac:dyDescent="0.25">
      <c r="D63" s="11"/>
    </row>
  </sheetData>
  <mergeCells count="9">
    <mergeCell ref="B21:B22"/>
    <mergeCell ref="J28:K28"/>
    <mergeCell ref="J30:K30"/>
    <mergeCell ref="F2:G2"/>
    <mergeCell ref="J2:K2"/>
    <mergeCell ref="F10:G10"/>
    <mergeCell ref="J10:K10"/>
    <mergeCell ref="B15:B16"/>
    <mergeCell ref="B18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Calculos</vt:lpstr>
      <vt:lpstr>Calculos  Nec Empresa</vt:lpstr>
      <vt:lpstr>Calculos  Nec Empresa (2)</vt:lpstr>
      <vt:lpstr>Calculos  Renucia</vt:lpstr>
      <vt:lpstr>Art 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jaña lagos</dc:creator>
  <cp:lastModifiedBy>juan eduardo jaña lagos</cp:lastModifiedBy>
  <cp:lastPrinted>2024-04-18T01:35:40Z</cp:lastPrinted>
  <dcterms:created xsi:type="dcterms:W3CDTF">2024-04-08T23:49:04Z</dcterms:created>
  <dcterms:modified xsi:type="dcterms:W3CDTF">2024-05-07T01:27:10Z</dcterms:modified>
</cp:coreProperties>
</file>